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280" tabRatio="787" firstSheet="11" activeTab="11"/>
  </bookViews>
  <sheets>
    <sheet name="CK DT quý I-2018 (3)" sheetId="1" state="hidden" r:id="rId1"/>
    <sheet name="CK DT mẫu 02-2018 (3)" sheetId="2" state="hidden" r:id="rId2"/>
    <sheet name="CK DT mẫu 02 bo sung1 (2019)" sheetId="3" state="hidden" r:id="rId3"/>
    <sheet name="CK DT mẫu 02 bo sung (2019)" sheetId="4" state="hidden" r:id="rId4"/>
    <sheet name="CK DT mẫu 02 bo sung 4-2019 (2" sheetId="5" state="hidden" r:id="rId5"/>
    <sheet name="CK DT mẫu 02 bo sung3-di (2019)" sheetId="6" state="hidden" r:id="rId6"/>
    <sheet name="CK DT mẫu 02 bo sung2 (2018)" sheetId="7" state="hidden" r:id="rId7"/>
    <sheet name="CK DT mẫu 02 bo sung (2018)" sheetId="8" state="hidden" r:id="rId8"/>
    <sheet name="CK DT mẫu 02-2018 (2)" sheetId="9" state="hidden" r:id="rId9"/>
    <sheet name="CK DT mẫu 02-2018" sheetId="10" state="hidden" r:id="rId10"/>
    <sheet name="CK QT tai chinh (2017)" sheetId="11" state="hidden" r:id="rId11"/>
    <sheet name="CK QT mẫu 04" sheetId="12" r:id="rId12"/>
    <sheet name="CK TM-DT Quy I-2019" sheetId="13" state="hidden" r:id="rId13"/>
    <sheet name="CK DT Quy I-2018" sheetId="14" state="hidden" r:id="rId14"/>
    <sheet name="CK TM-DT Quy II-2019 (2)" sheetId="15" state="hidden" r:id="rId15"/>
    <sheet name="CK DT Quy II-2019" sheetId="16" state="hidden" r:id="rId16"/>
    <sheet name="CK DT 6 thang dau nam-2019" sheetId="17" state="hidden" r:id="rId17"/>
    <sheet name="CK TM-DT 6 thang đầu năm 2019" sheetId="18" state="hidden" r:id="rId18"/>
    <sheet name="CK TM-DT Quy III-2019 (3)" sheetId="19" state="hidden" r:id="rId19"/>
    <sheet name="CK DT Quy III-2019 (2)" sheetId="20" state="hidden" r:id="rId20"/>
    <sheet name="CK TM-DT Quy III-2018 (2)" sheetId="21" state="hidden" r:id="rId21"/>
    <sheet name="CK DT Quy III-2018" sheetId="22" state="hidden" r:id="rId22"/>
  </sheets>
  <externalReferences>
    <externalReference r:id="rId25"/>
  </externalReferences>
  <definedNames>
    <definedName name="OLE_LINK1" localSheetId="16">'CK DT 6 thang dau nam-2019'!#REF!</definedName>
    <definedName name="OLE_LINK1" localSheetId="13">'CK DT Quy I-2018'!#REF!</definedName>
    <definedName name="OLE_LINK1" localSheetId="0">'CK DT quý I-2018 (3)'!$L$15</definedName>
    <definedName name="OLE_LINK1" localSheetId="15">'CK DT Quy II-2019'!#REF!</definedName>
    <definedName name="OLE_LINK1" localSheetId="21">'CK DT Quy III-2018'!#REF!</definedName>
    <definedName name="OLE_LINK1" localSheetId="19">'CK DT Quy III-2019 (2)'!#REF!</definedName>
    <definedName name="OLE_LINK1" localSheetId="17">'CK TM-DT 6 thang đầu năm 2019'!#REF!</definedName>
    <definedName name="OLE_LINK1" localSheetId="12">'CK TM-DT Quy I-2019'!#REF!</definedName>
    <definedName name="OLE_LINK1" localSheetId="14">'CK TM-DT Quy II-2019 (2)'!#REF!</definedName>
    <definedName name="OLE_LINK1" localSheetId="20">'CK TM-DT Quy III-2018 (2)'!#REF!</definedName>
    <definedName name="OLE_LINK1" localSheetId="18">'CK TM-DT Quy III-2019 (3)'!#REF!</definedName>
    <definedName name="_xlnm.Print_Area" localSheetId="16">'CK DT 6 thang dau nam-2019'!$A$1:$F$44</definedName>
    <definedName name="_xlnm.Print_Area" localSheetId="7">'CK DT mẫu 02 bo sung (2018)'!$A$1:$C$45</definedName>
    <definedName name="_xlnm.Print_Area" localSheetId="3">'CK DT mẫu 02 bo sung (2019)'!$A$1:$C$45</definedName>
    <definedName name="_xlnm.Print_Area" localSheetId="4">'CK DT mẫu 02 bo sung 4-2019 (2'!$A$1:$C$33</definedName>
    <definedName name="_xlnm.Print_Area" localSheetId="2">'CK DT mẫu 02 bo sung1 (2019)'!$A$1:$C$45</definedName>
    <definedName name="_xlnm.Print_Area" localSheetId="6">'CK DT mẫu 02 bo sung2 (2018)'!$A$1:$C$45</definedName>
    <definedName name="_xlnm.Print_Area" localSheetId="5">'CK DT mẫu 02 bo sung3-di (2019)'!$A$1:$C$45</definedName>
    <definedName name="_xlnm.Print_Area" localSheetId="9">'CK DT mẫu 02-2018'!$A$1:$C$45</definedName>
    <definedName name="_xlnm.Print_Area" localSheetId="8">'CK DT mẫu 02-2018 (2)'!$A$1:$C$45</definedName>
    <definedName name="_xlnm.Print_Area" localSheetId="1">'CK DT mẫu 02-2018 (3)'!$A$1:$C$46</definedName>
    <definedName name="_xlnm.Print_Area" localSheetId="13">'CK DT Quy I-2018'!$A$1:$F$45</definedName>
    <definedName name="_xlnm.Print_Area" localSheetId="0">'CK DT quý I-2018 (3)'!$A$1:$F$49</definedName>
    <definedName name="_xlnm.Print_Area" localSheetId="15">'CK DT Quy II-2019'!$A$1:$F$44</definedName>
    <definedName name="_xlnm.Print_Area" localSheetId="21">'CK DT Quy III-2018'!$A$1:$F$43</definedName>
    <definedName name="_xlnm.Print_Area" localSheetId="19">'CK DT Quy III-2019 (2)'!$A$1:$F$45</definedName>
    <definedName name="_xlnm.Print_Area" localSheetId="11">'CK QT mẫu 04'!$A$1:$F$65</definedName>
    <definedName name="_xlnm.Print_Area" localSheetId="10">'CK QT tai chinh (2017)'!$A$1:$G$55</definedName>
    <definedName name="_xlnm.Print_Area" localSheetId="17">'CK TM-DT 6 thang đầu năm 2019'!$A$1:$D$44</definedName>
    <definedName name="_xlnm.Print_Area" localSheetId="12">'CK TM-DT Quy I-2019'!$A$1:$D$44</definedName>
    <definedName name="_xlnm.Print_Area" localSheetId="14">'CK TM-DT Quy II-2019 (2)'!$A$1:$D$44</definedName>
    <definedName name="_xlnm.Print_Area" localSheetId="20">'CK TM-DT Quy III-2018 (2)'!$A$1:$D$42</definedName>
    <definedName name="_xlnm.Print_Area" localSheetId="18">'CK TM-DT Quy III-2019 (3)'!$A$1:$D$45</definedName>
  </definedNames>
  <calcPr fullCalcOnLoad="1"/>
</workbook>
</file>

<file path=xl/sharedStrings.xml><?xml version="1.0" encoding="utf-8"?>
<sst xmlns="http://schemas.openxmlformats.org/spreadsheetml/2006/main" count="1406" uniqueCount="170">
  <si>
    <t>TT</t>
  </si>
  <si>
    <t>A</t>
  </si>
  <si>
    <t>I</t>
  </si>
  <si>
    <t>II</t>
  </si>
  <si>
    <t>B</t>
  </si>
  <si>
    <t>Chỉ tiêu</t>
  </si>
  <si>
    <t>Chi thanh toán cá nhân</t>
  </si>
  <si>
    <t>Chi nghiệp vụ chuyên môn</t>
  </si>
  <si>
    <t>Chi mua sắm, sửa chữa lớn</t>
  </si>
  <si>
    <t>Chi khác</t>
  </si>
  <si>
    <t>Dự toán  được giao</t>
  </si>
  <si>
    <t xml:space="preserve">  Đơn vị tính: đồng</t>
  </si>
  <si>
    <t>Hoạt động sự nghiệp khác</t>
  </si>
  <si>
    <t>Số liệu báo cáo quyết toán</t>
  </si>
  <si>
    <t>Số liệu quyết toán được duyệt</t>
  </si>
  <si>
    <t>KP tiết kiệm 10% CCTL</t>
  </si>
  <si>
    <t>Trích lập các quỹ</t>
  </si>
  <si>
    <t>a</t>
  </si>
  <si>
    <t>b</t>
  </si>
  <si>
    <t>Trong đó</t>
  </si>
  <si>
    <t>QUYẾT TOÁN CHI NSNN</t>
  </si>
  <si>
    <t>Loại 490, khoản 491</t>
  </si>
  <si>
    <t>Số TT</t>
  </si>
  <si>
    <t>TỔNG SỐ THU</t>
  </si>
  <si>
    <t>Chè nước CBCC</t>
  </si>
  <si>
    <t>Thanh toán dịch vụ công cộng</t>
  </si>
  <si>
    <t>Chi phí thuê mướn</t>
  </si>
  <si>
    <t>Thanh toán công tác phí</t>
  </si>
  <si>
    <t>Vật tư văn phòng</t>
  </si>
  <si>
    <t>Mẫu số 02</t>
  </si>
  <si>
    <t>(Ban hành kèm theo TT số 61/2017/TT-BTC ngày 15/6/2017 của BTC)</t>
  </si>
  <si>
    <t>Số thu phí, lệ phí</t>
  </si>
  <si>
    <t>1.1</t>
  </si>
  <si>
    <t>Lệ phí</t>
  </si>
  <si>
    <t>1.2</t>
  </si>
  <si>
    <t>Phí</t>
  </si>
  <si>
    <t>Chi từ nguồn thu phí được để lại</t>
  </si>
  <si>
    <t>Chi quản lý hành chính</t>
  </si>
  <si>
    <t>Kinh phí thực hiện chế độ tự chủ</t>
  </si>
  <si>
    <t>Kinh phí không thực hiện chế độ tự chủ</t>
  </si>
  <si>
    <t>*</t>
  </si>
  <si>
    <t>Mẫu số 04</t>
  </si>
  <si>
    <t>Quỹ lương</t>
  </si>
  <si>
    <t>Mua sắm, sửa chữa</t>
  </si>
  <si>
    <t xml:space="preserve">QUYẾT TOÁN THU </t>
  </si>
  <si>
    <t>Thu hoạt động sản xuất, cung ứng dịch vụ</t>
  </si>
  <si>
    <t>Thu sự nghiệp khác</t>
  </si>
  <si>
    <t>CHI TỪ NGUỒN THU ĐƯỢC ĐỂ LẠI</t>
  </si>
  <si>
    <t>Chi sự nghiệp</t>
  </si>
  <si>
    <t>Kinh phí nhiệm vụ thường xuyên</t>
  </si>
  <si>
    <t>Kinh phí nhiệm vụ không thường xuyên</t>
  </si>
  <si>
    <t>C</t>
  </si>
  <si>
    <t>SỐ THU NỘP NGÂN SÁCH NHÀ NƯỚC</t>
  </si>
  <si>
    <t>Mẫu số 03</t>
  </si>
  <si>
    <t>Nội dung</t>
  </si>
  <si>
    <t>So sánh (%)</t>
  </si>
  <si>
    <t>Dự toán</t>
  </si>
  <si>
    <t>Cùng kỳ năm trước</t>
  </si>
  <si>
    <t xml:space="preserve">  Đơn vị tính: triệu đồng</t>
  </si>
  <si>
    <t>Ngày      tháng       năm</t>
  </si>
  <si>
    <t>THỦ TRƯỞNG ĐƠN VỊ</t>
  </si>
  <si>
    <t xml:space="preserve"> QUYẾT TOÁN THU - CHI NGUỒN NSNN, NGUỒN KHÁC NĂM 2017</t>
  </si>
  <si>
    <t>Hoạt động sản xuất cung ứng dịch vụ</t>
  </si>
  <si>
    <t>Số phí, lệ phí nộp NSNN</t>
  </si>
  <si>
    <t>(Dùng cho đơn vị sử dụng NSNN)</t>
  </si>
  <si>
    <t>2.1</t>
  </si>
  <si>
    <t>Chi sự nghiệp ....</t>
  </si>
  <si>
    <t>2.2</t>
  </si>
  <si>
    <t>3.1</t>
  </si>
  <si>
    <t>3.2</t>
  </si>
  <si>
    <t>......</t>
  </si>
  <si>
    <t>........</t>
  </si>
  <si>
    <t>DỰ TOÁN CHI NSNN</t>
  </si>
  <si>
    <t>TỔNG SỐ THU, CHI, NỘP NGÂN SÁCH PHÍ, LỆ PHÍ</t>
  </si>
  <si>
    <t>Lưu ý: Thời gian công khai chậm nhất là 15 ngày kể từ ngày được cấp có thẩm quyền giao dự toán</t>
  </si>
  <si>
    <t>- Báo cáo tình hình thực hiện ngân sách quý, 6 tháng; Thời gian công khai chậm nhất là 15 ngày kể từ ngày kết thú quý, 6 tháng</t>
  </si>
  <si>
    <t>Lưu ý:</t>
  </si>
  <si>
    <t>-  Báo cáo tình hình thực hiện ngân sách năm; Thời gian công khai chậm nhất là 05 ngày kể từ ngày đơn vị nộp báo cáo đơn vị dự toán cấp trên (Phòng TC-KH)</t>
  </si>
  <si>
    <t>Lưu ý: Thời gian công khai chậm nhất là 15 ngày kể từ ngày được cấp có thẩm quyền xét duyệt quyết toán.</t>
  </si>
  <si>
    <t>Chương: 622</t>
  </si>
  <si>
    <t>TRƯỜNG MẦM NON TT TRÂU QUỲ</t>
  </si>
  <si>
    <t>Thông tin liên lạc</t>
  </si>
  <si>
    <t>Trần Thị Diệu Anh</t>
  </si>
  <si>
    <t>Số thu phí, lệ phí, các khoản thu khác</t>
  </si>
  <si>
    <t>Học phí</t>
  </si>
  <si>
    <t>Các khoản thu khác</t>
  </si>
  <si>
    <t>Hội nghị</t>
  </si>
  <si>
    <t xml:space="preserve"> DỰ TOÁN THU - CHI NSNN NĂM 2018</t>
  </si>
  <si>
    <t>(Kèm theo Quyết định số 09/QĐ-UBND ngày 05/01/2018 của Trường Mầm non TT Trâu Quỳ)</t>
  </si>
  <si>
    <t>TRƯỜNG MẦM NON THỊ TRẤN TRÂU QUỲ</t>
  </si>
  <si>
    <t>Ngày      tháng       năm 2018</t>
  </si>
  <si>
    <t>Đơn vị: đồng</t>
  </si>
  <si>
    <t>Dự toán
 năm 2018</t>
  </si>
  <si>
    <t>Thu hoạt động sự nghiệp khác</t>
  </si>
  <si>
    <t>Chi hoạt động sự nghiệp khác</t>
  </si>
  <si>
    <t>Chi mua sắm TSCĐ</t>
  </si>
  <si>
    <t xml:space="preserve"> DỰ TOÁN THU - CHI NSNN BỔ SUNG NĂM 2018</t>
  </si>
  <si>
    <t>(Kèm theo Quyết định số 102/QĐ-MNTQ ngày  05/06/2018 của Trường Mầm non Thị Trấn Trâu Quỳ)</t>
  </si>
  <si>
    <t xml:space="preserve"> DỰ TOÁN THU - CHI NSNN NĂM 2019</t>
  </si>
  <si>
    <t>TRƯỜNG MẦM NON CỔ BI</t>
  </si>
  <si>
    <t>Phùng Thị Diệu Hương</t>
  </si>
  <si>
    <t>(Kèm theo Quyết định số     /QĐ-MNCB ngày 05/01/2019 của Trường Mầm non Cổ Bi)</t>
  </si>
  <si>
    <t>KP tiết kiệm 10% tăng thu nhập</t>
  </si>
  <si>
    <t xml:space="preserve"> DỰ TOÁN THU - CHI NSNN BỔ SUNG NĂM 2019</t>
  </si>
  <si>
    <t>(Kèm theo Quyết định số     /QĐ-MNCB ngày     /     /         của Trường Mầm non Cổ Bi)</t>
  </si>
  <si>
    <t>Ngày      tháng       năm 2019</t>
  </si>
  <si>
    <t>Tiền lương</t>
  </si>
  <si>
    <t>Các khoản phụ cấp theo lương</t>
  </si>
  <si>
    <t>Các khoản trích nộp theo lương</t>
  </si>
  <si>
    <t>Chi về hàng hóa, dịch vụ</t>
  </si>
  <si>
    <t>Văn phòng phẩm</t>
  </si>
  <si>
    <t>Khoán công tác phí</t>
  </si>
  <si>
    <t>Chi phí nghiệp vụ chuyên môn</t>
  </si>
  <si>
    <t>Tiền công</t>
  </si>
  <si>
    <t>Thu nhập khác</t>
  </si>
  <si>
    <t>Thông tin tuyên truyền, liên lạc</t>
  </si>
  <si>
    <t>Mua sắm tài sản vô hình</t>
  </si>
  <si>
    <t>Kinh phí thực hiện chế độ tự chủ-CCTL</t>
  </si>
  <si>
    <t>Kinh phí không tự chủ - KPCCTL</t>
  </si>
  <si>
    <t>Kinh phí thực hiện chế độ không tự chủ</t>
  </si>
  <si>
    <t>Chi học phí</t>
  </si>
  <si>
    <t xml:space="preserve"> ĐÁNH GIÁ THỰC HIỆN DỰ TOÁN THU - CHI NGÂN SÁCH 6 THÁNG CUỐI NĂM 2018</t>
  </si>
  <si>
    <t>Ước thực hiện 6 tháng cuối năm 2018</t>
  </si>
  <si>
    <t xml:space="preserve"> Sửa chữa thường xuyên TSCĐ</t>
  </si>
  <si>
    <t xml:space="preserve"> ĐÁNH GIÁ THỰC HIỆN DỰ TOÁN THU - CHI NGÂN SÁCH QUÝ III/2018</t>
  </si>
  <si>
    <t>Ước thực hiện Quý III/2018</t>
  </si>
  <si>
    <t>CÔNG KHAI THUYẾT MINH TÌNH HÌNH THỰC HIỆN 
DỰ TOÁN THU - CHI NGÂN SÁCH QUÝ III/ 2018</t>
  </si>
  <si>
    <t>CÔNG KHAI THUYẾT MINH TÌNH HÌNH THỰC HIỆN 
DỰ TOÁN THU - CHI NGÂN SÁCH QUÝ I/2019</t>
  </si>
  <si>
    <t>Ước thực hiện Quý I/2019</t>
  </si>
  <si>
    <t>Phúc lợi tập thể</t>
  </si>
  <si>
    <t>Kinh phí không tự chủ</t>
  </si>
  <si>
    <t xml:space="preserve"> ĐÁNH GIÁ THỰC HIỆN DỰ TOÁN THU - CHI NGÂN SÁCH QUÝ I/2019</t>
  </si>
  <si>
    <t>CÔNG KHAI THUYẾT MINH TÌNH HÌNH THỰC HIỆN 
DỰ TOÁN THU - CHI NGÂN SÁCH QUÝ II NĂM 2019</t>
  </si>
  <si>
    <t>Ước thực hiện Quý II năm 2019</t>
  </si>
  <si>
    <t>Dự toán
 năm 2019</t>
  </si>
  <si>
    <t>Thuê mướn</t>
  </si>
  <si>
    <t xml:space="preserve"> ĐÁNH GIÁ THỰC HIỆN DỰ TOÁN THU - CHI NGÂN SÁCH QUÝ II NĂM 2019</t>
  </si>
  <si>
    <t>Ước thực hiện quý II năm 2019</t>
  </si>
  <si>
    <t xml:space="preserve"> ĐÁNH GIÁ THỰC HIỆN DỰ TOÁN THU - CHI NGÂN SÁCH 6 THÁNG ĐẦU NĂM 2019</t>
  </si>
  <si>
    <t>Ước thực hiện 6 tháng đầu năm 2019</t>
  </si>
  <si>
    <t>CÔNG KHAI THUYẾT MINH TÌNH HÌNH THỰC HIỆN 
DỰ TOÁN THU - CHI NGÂN SÁCH 6 THÁNG ĐẦU NĂM 2019</t>
  </si>
  <si>
    <t>ĐIỀU CHỈNH DỰ TOÁN THU - CHI NSNN NĂM 2019</t>
  </si>
  <si>
    <t>CÔNG KHAI THUYẾT MINH TÌNH HÌNH THỰC HIỆN 
DỰ TOÁN THU - CHI NGÂN SÁCH QUÝ III NĂM 2019</t>
  </si>
  <si>
    <t>Ước thực hiện Quý III năm 2019</t>
  </si>
  <si>
    <t>Mua TSCĐ</t>
  </si>
  <si>
    <t xml:space="preserve"> ĐÁNH GIÁ THỰC HIỆN DỰ TOÁN THU - CHI NGÂN SÁCH QUÝ III NĂM 2019</t>
  </si>
  <si>
    <t>Ước thực hiện quý III năm 2019</t>
  </si>
  <si>
    <t>Biểu số 2 - Ban hành kèm theo Thông tư số 90/2018/TT-BTC ngày 28 tháng 9 năm 2018 của Bộ Tài chính</t>
  </si>
  <si>
    <t>Đơn vị: Trường mầm non Cổ Bi</t>
  </si>
  <si>
    <t>Chi sự nghiệp giáo dục</t>
  </si>
  <si>
    <t>Chi sự nghiệp khoa học và công nghệ</t>
  </si>
  <si>
    <t>Kinh phí thực hiện nhiệm vụ thường xuyên</t>
  </si>
  <si>
    <t xml:space="preserve"> DỰ TOÁN THU, CHI NGÂN SÁCH NHÀ NƯỚC BỔ SUNG NĂM 2019</t>
  </si>
  <si>
    <t>Chi sự nghiệp giáo dục, đào tạo và dạy nghề</t>
  </si>
  <si>
    <t>Biểu số 4 - Ban hành kèm theo Thông tư số 90/2018 ngày 28 tháng 09 năm  2018 của Bộ Tài chính</t>
  </si>
  <si>
    <t>Chênh lệch</t>
  </si>
  <si>
    <t>5=4-3</t>
  </si>
  <si>
    <t>III</t>
  </si>
  <si>
    <t>Số quyết toán được duyệt chi tiết từng đơn vị trực thuộc (nếu có đơn vị trực thuộc)</t>
  </si>
  <si>
    <t>Quyết toán thu, chi, nộp
 ngân sách phí, lệ phí</t>
  </si>
  <si>
    <t>TRƯỜNG MẦM NON YÊN THƯỜNG</t>
  </si>
  <si>
    <t xml:space="preserve">CP thuê mướn </t>
  </si>
  <si>
    <t xml:space="preserve">Sửa chữa thường xuyên </t>
  </si>
  <si>
    <t xml:space="preserve">Mua sắm tài sản </t>
  </si>
  <si>
    <t xml:space="preserve">Các khoản đóng góp </t>
  </si>
  <si>
    <t xml:space="preserve"> QUYẾT TOÁN THU - CHI NGÂN SÁCH NHÀ NƯỚC NĂM 2021</t>
  </si>
  <si>
    <t>(Kèm theo Quyết định số         /QĐ-MNYT ngày    20/7/2022  của Trường Mầm non Yên Thường)</t>
  </si>
  <si>
    <t xml:space="preserve">Hội nghị </t>
  </si>
  <si>
    <t xml:space="preserve">Chi trích lập quỹ phúc lợi </t>
  </si>
  <si>
    <t>Kinh phí được bổ sung sau ngày 30 tháng 9 năm 2022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</si>
</sst>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\ ###\ ###\ ###"/>
    <numFmt numFmtId="177" formatCode="###.0\ ###\ ###\ ###"/>
    <numFmt numFmtId="178" formatCode="###,###,###,###"/>
    <numFmt numFmtId="179" formatCode="_(* #,##0.000_);_(* \(#,##0.000\);_(* &quot;-&quot;??_);_(@_)"/>
    <numFmt numFmtId="180" formatCode="_(* #,##0.0_);_(* \(#,##0.0\);_(* &quot;-&quot;??_);_(@_)"/>
    <numFmt numFmtId="181" formatCode="###,###,###,###,###"/>
    <numFmt numFmtId="182" formatCode="###,###,###,###,###.0"/>
    <numFmt numFmtId="183" formatCode="###,###,###,###,###.00"/>
    <numFmt numFmtId="184" formatCode="_(* #,##0_);_(* \(#,##0\);_(* &quot;-&quot;??_);_(@_)"/>
    <numFmt numFmtId="185" formatCode="#,##0.0"/>
    <numFmt numFmtId="186" formatCode="#,##0.000"/>
    <numFmt numFmtId="187" formatCode="#,##0.0000"/>
    <numFmt numFmtId="188" formatCode="#,##0.00000"/>
    <numFmt numFmtId="189" formatCode="_ * #,##0_ ;_ * \-#,##0_ ;_ * &quot;-&quot;_ ;_ @_ "/>
    <numFmt numFmtId="190" formatCode="0.0%"/>
    <numFmt numFmtId="191" formatCode="_(* #,##0.0000_);_(* \(#,##0.0000\);_(* &quot;-&quot;??_);_(@_)"/>
    <numFmt numFmtId="192" formatCode="0.000000000000000%"/>
    <numFmt numFmtId="193" formatCode="0.00000000000000%"/>
    <numFmt numFmtId="194" formatCode="0.0000000000000%"/>
    <numFmt numFmtId="195" formatCode="0.000000000000%"/>
    <numFmt numFmtId="196" formatCode="0.00000000000%"/>
    <numFmt numFmtId="197" formatCode="0.0000000000%"/>
    <numFmt numFmtId="198" formatCode="0.000000000%"/>
    <numFmt numFmtId="199" formatCode="0.00000000%"/>
    <numFmt numFmtId="200" formatCode="0.0000000%"/>
    <numFmt numFmtId="201" formatCode="0.000000%"/>
    <numFmt numFmtId="202" formatCode="0.00000%"/>
    <numFmt numFmtId="203" formatCode="0.0000%"/>
    <numFmt numFmtId="204" formatCode="0.000%"/>
    <numFmt numFmtId="205" formatCode="0.0"/>
  </numFmts>
  <fonts count="64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i/>
      <sz val="12"/>
      <name val=".VnTime"/>
      <family val="2"/>
    </font>
    <font>
      <b/>
      <sz val="12"/>
      <name val=".VnTime"/>
      <family val="2"/>
    </font>
    <font>
      <sz val="14"/>
      <name val="Times New Roman"/>
      <family val="1"/>
    </font>
    <font>
      <sz val="14"/>
      <name val=".VnTime"/>
      <family val="2"/>
    </font>
    <font>
      <b/>
      <i/>
      <sz val="11"/>
      <name val="Times New Roman"/>
      <family val="1"/>
    </font>
    <font>
      <sz val="11"/>
      <name val=".VnTime"/>
      <family val="2"/>
    </font>
    <font>
      <b/>
      <sz val="11"/>
      <name val=".VnTime"/>
      <family val="2"/>
    </font>
    <font>
      <b/>
      <i/>
      <sz val="13.5"/>
      <name val="Times New Roman"/>
      <family val="1"/>
    </font>
    <font>
      <b/>
      <i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i/>
      <sz val="12"/>
      <color indexed="10"/>
      <name val=".VnTime"/>
      <family val="2"/>
    </font>
    <font>
      <sz val="12"/>
      <color indexed="8"/>
      <name val=".VnTime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i/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right" wrapText="1"/>
    </xf>
    <xf numFmtId="0" fontId="14" fillId="0" borderId="11" xfId="0" applyFont="1" applyBorder="1" applyAlignment="1">
      <alignment/>
    </xf>
    <xf numFmtId="0" fontId="2" fillId="0" borderId="11" xfId="0" applyFont="1" applyBorder="1" applyAlignment="1">
      <alignment horizontal="justify" wrapText="1"/>
    </xf>
    <xf numFmtId="0" fontId="13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quotePrefix="1">
      <alignment/>
    </xf>
    <xf numFmtId="184" fontId="0" fillId="0" borderId="11" xfId="42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84" fontId="0" fillId="0" borderId="11" xfId="42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1" fillId="0" borderId="11" xfId="57" applyFont="1" applyBorder="1" applyAlignment="1">
      <alignment horizontal="right"/>
    </xf>
    <xf numFmtId="9" fontId="14" fillId="0" borderId="11" xfId="0" applyNumberFormat="1" applyFont="1" applyBorder="1" applyAlignment="1">
      <alignment/>
    </xf>
    <xf numFmtId="9" fontId="2" fillId="0" borderId="11" xfId="57" applyFont="1" applyBorder="1" applyAlignment="1">
      <alignment horizontal="right"/>
    </xf>
    <xf numFmtId="9" fontId="3" fillId="0" borderId="11" xfId="57" applyFont="1" applyBorder="1" applyAlignment="1">
      <alignment horizontal="right"/>
    </xf>
    <xf numFmtId="9" fontId="2" fillId="0" borderId="10" xfId="57" applyFont="1" applyBorder="1" applyAlignment="1">
      <alignment horizontal="right"/>
    </xf>
    <xf numFmtId="0" fontId="15" fillId="0" borderId="0" xfId="0" applyFont="1" applyAlignment="1">
      <alignment horizontal="center"/>
    </xf>
    <xf numFmtId="184" fontId="2" fillId="0" borderId="11" xfId="0" applyNumberFormat="1" applyFont="1" applyBorder="1" applyAlignment="1">
      <alignment horizontal="center" wrapText="1"/>
    </xf>
    <xf numFmtId="184" fontId="0" fillId="0" borderId="11" xfId="42" applyNumberFormat="1" applyBorder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15" xfId="0" applyFont="1" applyBorder="1" applyAlignment="1">
      <alignment horizontal="right" vertical="top" wrapText="1"/>
    </xf>
    <xf numFmtId="0" fontId="16" fillId="0" borderId="16" xfId="0" applyFont="1" applyBorder="1" applyAlignment="1">
      <alignment horizontal="right" vertical="top" wrapText="1"/>
    </xf>
    <xf numFmtId="3" fontId="17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3" fontId="9" fillId="0" borderId="11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180" fontId="1" fillId="0" borderId="11" xfId="42" applyNumberFormat="1" applyFont="1" applyBorder="1" applyAlignment="1">
      <alignment horizontal="right"/>
    </xf>
    <xf numFmtId="184" fontId="1" fillId="0" borderId="11" xfId="42" applyNumberFormat="1" applyFont="1" applyBorder="1" applyAlignment="1">
      <alignment horizontal="right"/>
    </xf>
    <xf numFmtId="184" fontId="0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3" fontId="0" fillId="0" borderId="0" xfId="0" applyNumberFormat="1" applyFont="1" applyAlignment="1">
      <alignment/>
    </xf>
    <xf numFmtId="18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184" fontId="9" fillId="0" borderId="11" xfId="42" applyNumberFormat="1" applyFont="1" applyBorder="1" applyAlignment="1">
      <alignment horizontal="right" wrapText="1"/>
    </xf>
    <xf numFmtId="184" fontId="18" fillId="0" borderId="11" xfId="42" applyNumberFormat="1" applyFont="1" applyBorder="1" applyAlignment="1">
      <alignment/>
    </xf>
    <xf numFmtId="0" fontId="4" fillId="0" borderId="0" xfId="0" applyFont="1" applyAlignment="1">
      <alignment horizontal="center"/>
    </xf>
    <xf numFmtId="184" fontId="0" fillId="0" borderId="0" xfId="42" applyNumberFormat="1" applyFont="1" applyAlignment="1">
      <alignment/>
    </xf>
    <xf numFmtId="184" fontId="1" fillId="0" borderId="11" xfId="42" applyNumberFormat="1" applyFont="1" applyBorder="1" applyAlignment="1">
      <alignment wrapText="1"/>
    </xf>
    <xf numFmtId="0" fontId="2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84" fontId="21" fillId="0" borderId="11" xfId="42" applyNumberFormat="1" applyFont="1" applyBorder="1" applyAlignment="1">
      <alignment/>
    </xf>
    <xf numFmtId="184" fontId="1" fillId="0" borderId="0" xfId="42" applyNumberFormat="1" applyFont="1" applyAlignment="1">
      <alignment/>
    </xf>
    <xf numFmtId="184" fontId="13" fillId="0" borderId="0" xfId="42" applyNumberFormat="1" applyFont="1" applyAlignment="1">
      <alignment/>
    </xf>
    <xf numFmtId="9" fontId="0" fillId="0" borderId="11" xfId="57" applyFont="1" applyBorder="1" applyAlignment="1">
      <alignment/>
    </xf>
    <xf numFmtId="184" fontId="0" fillId="0" borderId="0" xfId="0" applyNumberFormat="1" applyAlignment="1">
      <alignment/>
    </xf>
    <xf numFmtId="9" fontId="0" fillId="0" borderId="0" xfId="57" applyFont="1" applyAlignment="1">
      <alignment/>
    </xf>
    <xf numFmtId="184" fontId="0" fillId="0" borderId="11" xfId="42" applyNumberFormat="1" applyFont="1" applyBorder="1" applyAlignment="1">
      <alignment/>
    </xf>
    <xf numFmtId="0" fontId="0" fillId="0" borderId="12" xfId="0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3" fontId="3" fillId="0" borderId="1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9" fontId="0" fillId="0" borderId="17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9" fontId="0" fillId="0" borderId="0" xfId="0" applyNumberForma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84" fontId="1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185" fontId="1" fillId="0" borderId="11" xfId="0" applyNumberFormat="1" applyFont="1" applyBorder="1" applyAlignment="1">
      <alignment horizontal="right"/>
    </xf>
    <xf numFmtId="186" fontId="1" fillId="0" borderId="11" xfId="0" applyNumberFormat="1" applyFont="1" applyBorder="1" applyAlignment="1">
      <alignment horizontal="right"/>
    </xf>
    <xf numFmtId="185" fontId="2" fillId="0" borderId="11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3" fontId="3" fillId="33" borderId="11" xfId="0" applyNumberFormat="1" applyFont="1" applyFill="1" applyBorder="1" applyAlignment="1">
      <alignment horizontal="right"/>
    </xf>
    <xf numFmtId="0" fontId="61" fillId="0" borderId="11" xfId="0" applyFont="1" applyBorder="1" applyAlignment="1">
      <alignment/>
    </xf>
    <xf numFmtId="0" fontId="61" fillId="0" borderId="0" xfId="0" applyFont="1" applyAlignment="1">
      <alignment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wrapText="1"/>
    </xf>
    <xf numFmtId="3" fontId="62" fillId="0" borderId="11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0" fillId="0" borderId="0" xfId="0" applyFont="1" applyBorder="1" applyAlignment="1">
      <alignment/>
    </xf>
    <xf numFmtId="184" fontId="1" fillId="0" borderId="11" xfId="42" applyNumberFormat="1" applyFont="1" applyBorder="1" applyAlignment="1">
      <alignment/>
    </xf>
    <xf numFmtId="184" fontId="9" fillId="33" borderId="11" xfId="42" applyNumberFormat="1" applyFont="1" applyFill="1" applyBorder="1" applyAlignment="1">
      <alignment/>
    </xf>
    <xf numFmtId="184" fontId="8" fillId="33" borderId="11" xfId="42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/>
      <protection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4067175</xdr:colOff>
      <xdr:row>1</xdr:row>
      <xdr:rowOff>28575</xdr:rowOff>
    </xdr:from>
    <xdr:to>
      <xdr:col>2</xdr:col>
      <xdr:colOff>2476500</xdr:colOff>
      <xdr:row>2</xdr:row>
      <xdr:rowOff>95250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857750" y="323850"/>
          <a:ext cx="32099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(Ban hành 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</a:t>
          </a:r>
          <a:r>
            <a:rPr lang="en-US" cap="none" sz="12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m theo TT số 61/2017/TT-BTC ngày 15/6/2017 của BTC)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4067175</xdr:colOff>
      <xdr:row>1</xdr:row>
      <xdr:rowOff>28575</xdr:rowOff>
    </xdr:from>
    <xdr:to>
      <xdr:col>2</xdr:col>
      <xdr:colOff>2476500</xdr:colOff>
      <xdr:row>2</xdr:row>
      <xdr:rowOff>95250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857750" y="323850"/>
          <a:ext cx="32099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(Ban hành 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</a:t>
          </a:r>
          <a:r>
            <a:rPr lang="en-US" cap="none" sz="12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m theo TT số 61/2017/TT-BTC ngày 15/6/2017 của BTC)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4067175</xdr:colOff>
      <xdr:row>1</xdr:row>
      <xdr:rowOff>28575</xdr:rowOff>
    </xdr:from>
    <xdr:to>
      <xdr:col>2</xdr:col>
      <xdr:colOff>2476500</xdr:colOff>
      <xdr:row>2</xdr:row>
      <xdr:rowOff>95250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857750" y="323850"/>
          <a:ext cx="32099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(Ban hành 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</a:t>
          </a:r>
          <a:r>
            <a:rPr lang="en-US" cap="none" sz="12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m theo TT số 61/2017/TT-BTC ngày 15/6/2017 của BTC)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2095500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860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i%20anh%201\Tai%20chinh\Bao%20cao%20ghi%20thu%20chi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4 (2)"/>
      <sheetName val="Sheet5"/>
      <sheetName val="Sheet6"/>
      <sheetName val="Sheet5 (2)"/>
      <sheetName val="Sheet5 (3)"/>
      <sheetName val="Sheet5 (4)"/>
      <sheetName val="Sheet4 (3)"/>
      <sheetName val="Sheet5 (5)"/>
      <sheetName val="Sheet4 (5)"/>
      <sheetName val="Sheet4 (4)"/>
      <sheetName val="Sheet5 (7)"/>
      <sheetName val="Sheet5 (6)"/>
      <sheetName val="Sheet4 (6)"/>
      <sheetName val="Sheet5 (8)"/>
      <sheetName val="Sheet4 (7)"/>
    </sheetNames>
    <sheetDataSet>
      <sheetData sheetId="17">
        <row r="28">
          <cell r="O28">
            <v>266619000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="75" zoomScaleNormal="75" zoomScalePageLayoutView="0" workbookViewId="0" topLeftCell="A1">
      <selection activeCell="D11" sqref="D11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14.296875" style="0" customWidth="1"/>
    <col min="5" max="5" width="11.09765625" style="0" customWidth="1"/>
    <col min="6" max="6" width="11.3984375" style="0" customWidth="1"/>
    <col min="10" max="10" width="35.296875" style="0" customWidth="1"/>
    <col min="11" max="11" width="21.296875" style="0" customWidth="1"/>
    <col min="12" max="12" width="17.69921875" style="0" customWidth="1"/>
    <col min="14" max="14" width="10.09765625" style="0" bestFit="1" customWidth="1"/>
  </cols>
  <sheetData>
    <row r="1" spans="1:6" ht="23.25" customHeight="1">
      <c r="A1" s="19" t="s">
        <v>99</v>
      </c>
      <c r="B1" s="32"/>
      <c r="D1" s="155" t="s">
        <v>53</v>
      </c>
      <c r="E1" s="155"/>
      <c r="F1" s="155"/>
    </row>
    <row r="2" spans="1:6" ht="32.25" customHeight="1">
      <c r="A2" s="17" t="s">
        <v>79</v>
      </c>
      <c r="B2" s="38"/>
      <c r="D2" s="156" t="s">
        <v>30</v>
      </c>
      <c r="E2" s="156"/>
      <c r="F2" s="156"/>
    </row>
    <row r="3" spans="1:6" ht="22.5" customHeight="1">
      <c r="A3" s="157" t="s">
        <v>121</v>
      </c>
      <c r="B3" s="157"/>
      <c r="C3" s="157"/>
      <c r="D3" s="157"/>
      <c r="E3" s="157"/>
      <c r="F3" s="157"/>
    </row>
    <row r="4" spans="1:6" ht="16.5">
      <c r="A4" s="158" t="s">
        <v>64</v>
      </c>
      <c r="B4" s="158"/>
      <c r="C4" s="158"/>
      <c r="D4" s="158"/>
      <c r="E4" s="158"/>
      <c r="F4" s="158"/>
    </row>
    <row r="5" spans="1:5" ht="29.25" customHeight="1">
      <c r="A5" s="1"/>
      <c r="B5" s="1"/>
      <c r="E5" s="25" t="s">
        <v>58</v>
      </c>
    </row>
    <row r="6" spans="1:7" ht="27.75" customHeight="1">
      <c r="A6" s="153" t="s">
        <v>0</v>
      </c>
      <c r="B6" s="153" t="s">
        <v>54</v>
      </c>
      <c r="C6" s="163" t="s">
        <v>92</v>
      </c>
      <c r="D6" s="160" t="s">
        <v>122</v>
      </c>
      <c r="E6" s="161" t="s">
        <v>55</v>
      </c>
      <c r="F6" s="161"/>
      <c r="G6" s="1"/>
    </row>
    <row r="7" spans="1:11" ht="33.75" customHeight="1">
      <c r="A7" s="153"/>
      <c r="B7" s="153"/>
      <c r="C7" s="153"/>
      <c r="D7" s="160"/>
      <c r="E7" s="12" t="s">
        <v>56</v>
      </c>
      <c r="F7" s="37" t="s">
        <v>57</v>
      </c>
      <c r="G7" s="1"/>
      <c r="K7" s="76">
        <f>D11/C11</f>
        <v>0.2944078947368421</v>
      </c>
    </row>
    <row r="8" spans="1:11" ht="36.75" customHeight="1">
      <c r="A8" s="2" t="s">
        <v>2</v>
      </c>
      <c r="B8" s="3" t="s">
        <v>73</v>
      </c>
      <c r="C8" s="4">
        <f>C9+C12</f>
        <v>2209600000</v>
      </c>
      <c r="D8" s="4">
        <f>D9+D12</f>
        <v>596200000</v>
      </c>
      <c r="E8" s="72">
        <f>E9+E12</f>
        <v>0.97</v>
      </c>
      <c r="F8" s="72">
        <f>F9+F12</f>
        <v>0.87</v>
      </c>
      <c r="J8" t="s">
        <v>23</v>
      </c>
      <c r="K8">
        <v>3592530000</v>
      </c>
    </row>
    <row r="9" spans="1:11" ht="24.75" customHeight="1">
      <c r="A9" s="5">
        <v>1</v>
      </c>
      <c r="B9" s="6" t="s">
        <v>31</v>
      </c>
      <c r="C9" s="7">
        <f>C10+C11</f>
        <v>668800000</v>
      </c>
      <c r="D9" s="7">
        <f>D10+D11</f>
        <v>196900000</v>
      </c>
      <c r="E9" s="70"/>
      <c r="F9" s="70"/>
      <c r="J9" t="s">
        <v>31</v>
      </c>
      <c r="K9">
        <v>888730000</v>
      </c>
    </row>
    <row r="10" spans="1:11" s="64" customFormat="1" ht="24.75" customHeight="1">
      <c r="A10" s="8" t="s">
        <v>32</v>
      </c>
      <c r="B10" s="9" t="s">
        <v>33</v>
      </c>
      <c r="C10" s="10"/>
      <c r="D10" s="65"/>
      <c r="E10" s="66"/>
      <c r="F10" s="63"/>
      <c r="J10" s="64" t="s">
        <v>84</v>
      </c>
      <c r="K10" s="64">
        <v>888730000</v>
      </c>
    </row>
    <row r="11" spans="1:11" ht="24.75" customHeight="1">
      <c r="A11" s="8" t="s">
        <v>34</v>
      </c>
      <c r="B11" s="9" t="s">
        <v>35</v>
      </c>
      <c r="C11" s="10">
        <v>668800000</v>
      </c>
      <c r="D11" s="65">
        <v>196900000</v>
      </c>
      <c r="E11" s="66">
        <v>0.29</v>
      </c>
      <c r="F11" s="67">
        <v>0.73</v>
      </c>
      <c r="G11" s="76">
        <f>D11/C11</f>
        <v>0.2944078947368421</v>
      </c>
      <c r="J11" t="s">
        <v>35</v>
      </c>
      <c r="K11">
        <f>D11/'[1]Sheet5 (8)'!$O$28</f>
        <v>0.7385070081277029</v>
      </c>
    </row>
    <row r="12" spans="1:11" ht="24.75" customHeight="1">
      <c r="A12" s="8">
        <v>2</v>
      </c>
      <c r="B12" s="9" t="s">
        <v>93</v>
      </c>
      <c r="C12" s="7">
        <v>1540800000</v>
      </c>
      <c r="D12" s="7">
        <f>268500000+108150000+11325000+11325000</f>
        <v>399300000</v>
      </c>
      <c r="E12" s="70">
        <v>0.97</v>
      </c>
      <c r="F12" s="70">
        <v>0.87</v>
      </c>
      <c r="G12" s="76">
        <f>D12/C12</f>
        <v>0.25915109034267914</v>
      </c>
      <c r="J12" t="s">
        <v>31</v>
      </c>
      <c r="K12">
        <v>888730000</v>
      </c>
    </row>
    <row r="13" spans="1:11" s="31" customFormat="1" ht="24.75" customHeight="1">
      <c r="A13" s="5" t="s">
        <v>3</v>
      </c>
      <c r="B13" s="6" t="s">
        <v>36</v>
      </c>
      <c r="C13" s="7">
        <f>C14+C17+C20+C21</f>
        <v>2209600000</v>
      </c>
      <c r="D13" s="7">
        <f>D14+D17+D20+D21</f>
        <v>282049000</v>
      </c>
      <c r="E13" s="70">
        <v>0.16</v>
      </c>
      <c r="F13" s="70">
        <v>0.47</v>
      </c>
      <c r="G13" s="76">
        <f>D13/C13</f>
        <v>0.12764708544532946</v>
      </c>
      <c r="J13" s="31" t="s">
        <v>45</v>
      </c>
      <c r="K13" s="31">
        <f>D12/C12</f>
        <v>0.25915109034267914</v>
      </c>
    </row>
    <row r="14" spans="1:12" ht="24.75" customHeight="1">
      <c r="A14" s="8">
        <v>1</v>
      </c>
      <c r="B14" s="9" t="s">
        <v>66</v>
      </c>
      <c r="C14" s="10">
        <f>C15</f>
        <v>668800000</v>
      </c>
      <c r="D14" s="10">
        <f>D15+D16</f>
        <v>108519000</v>
      </c>
      <c r="E14" s="68">
        <f>E15+E16</f>
        <v>0.16</v>
      </c>
      <c r="F14" s="10">
        <f>F15+F16</f>
        <v>0.48</v>
      </c>
      <c r="G14" s="76">
        <f>D14/C14</f>
        <v>0.16225927033492824</v>
      </c>
      <c r="J14" t="s">
        <v>46</v>
      </c>
      <c r="K14">
        <v>2703800000</v>
      </c>
      <c r="L14">
        <f>D15/C14</f>
        <v>0.16225927033492824</v>
      </c>
    </row>
    <row r="15" spans="1:12" ht="24.75" customHeight="1">
      <c r="A15" s="8" t="s">
        <v>17</v>
      </c>
      <c r="B15" s="43" t="s">
        <v>49</v>
      </c>
      <c r="C15" s="10">
        <v>668800000</v>
      </c>
      <c r="D15" s="10">
        <v>108519000</v>
      </c>
      <c r="E15" s="67">
        <v>0.16</v>
      </c>
      <c r="F15" s="67">
        <v>0.48</v>
      </c>
      <c r="G15" s="76">
        <f>D15/C15</f>
        <v>0.16225927033492824</v>
      </c>
      <c r="J15" t="s">
        <v>47</v>
      </c>
      <c r="K15">
        <v>3621587100</v>
      </c>
      <c r="L15" s="79">
        <v>144567000</v>
      </c>
    </row>
    <row r="16" spans="1:14" ht="24.75" customHeight="1">
      <c r="A16" s="8" t="s">
        <v>18</v>
      </c>
      <c r="B16" s="44" t="s">
        <v>50</v>
      </c>
      <c r="C16" s="10"/>
      <c r="D16" s="10"/>
      <c r="E16" s="48"/>
      <c r="F16" s="48"/>
      <c r="J16" t="s">
        <v>36</v>
      </c>
      <c r="K16" s="79">
        <v>144567000</v>
      </c>
      <c r="N16">
        <f>D20*2</f>
        <v>347060000</v>
      </c>
    </row>
    <row r="17" spans="1:12" ht="24.75" customHeight="1" thickBot="1">
      <c r="A17" s="8">
        <v>2</v>
      </c>
      <c r="B17" s="44" t="s">
        <v>37</v>
      </c>
      <c r="C17" s="10"/>
      <c r="D17" s="10"/>
      <c r="E17" s="68">
        <f>E18+E19</f>
        <v>0</v>
      </c>
      <c r="F17" s="68">
        <f>F18+F19</f>
        <v>0</v>
      </c>
      <c r="J17" t="s">
        <v>48</v>
      </c>
      <c r="L17">
        <f>D15/OLE_LINK1</f>
        <v>0.7506484882442052</v>
      </c>
    </row>
    <row r="18" spans="1:12" ht="24.75" customHeight="1" thickBot="1">
      <c r="A18" s="8" t="s">
        <v>17</v>
      </c>
      <c r="B18" s="44" t="s">
        <v>38</v>
      </c>
      <c r="C18" s="10"/>
      <c r="D18" s="10"/>
      <c r="E18" s="67"/>
      <c r="F18" s="67"/>
      <c r="G18" s="76" t="e">
        <f>D18/C18</f>
        <v>#DIV/0!</v>
      </c>
      <c r="J18" t="s">
        <v>49</v>
      </c>
      <c r="K18" s="80">
        <v>280139000</v>
      </c>
      <c r="L18">
        <f>K18+K19</f>
        <v>365388000</v>
      </c>
    </row>
    <row r="19" spans="1:12" ht="24.75" customHeight="1" thickBot="1">
      <c r="A19" s="8" t="s">
        <v>18</v>
      </c>
      <c r="B19" s="44" t="s">
        <v>39</v>
      </c>
      <c r="C19" s="10"/>
      <c r="D19" s="10"/>
      <c r="E19" s="48"/>
      <c r="F19" s="48"/>
      <c r="J19" t="s">
        <v>50</v>
      </c>
      <c r="K19" s="81">
        <v>85249000</v>
      </c>
      <c r="L19">
        <f>D15/C15</f>
        <v>0.16225927033492824</v>
      </c>
    </row>
    <row r="20" spans="1:12" ht="24.75" customHeight="1">
      <c r="A20" s="8">
        <v>3</v>
      </c>
      <c r="B20" s="6" t="s">
        <v>94</v>
      </c>
      <c r="C20" s="10">
        <v>1540800000</v>
      </c>
      <c r="D20" s="10">
        <v>173530000</v>
      </c>
      <c r="E20" s="67">
        <v>0.11</v>
      </c>
      <c r="F20" s="67">
        <v>0.47</v>
      </c>
      <c r="G20" s="76">
        <f>D20/C20</f>
        <v>0.11262331256490135</v>
      </c>
      <c r="J20" t="s">
        <v>31</v>
      </c>
      <c r="K20">
        <v>888730000</v>
      </c>
      <c r="L20">
        <v>669913000</v>
      </c>
    </row>
    <row r="21" spans="1:12" s="31" customFormat="1" ht="24.75" customHeight="1">
      <c r="A21" s="45">
        <v>4</v>
      </c>
      <c r="B21" s="46" t="s">
        <v>63</v>
      </c>
      <c r="C21" s="7">
        <f>C22+C23</f>
        <v>0</v>
      </c>
      <c r="D21" s="7">
        <f>D22+D23</f>
        <v>0</v>
      </c>
      <c r="E21" s="7">
        <f>E22+E23</f>
        <v>0</v>
      </c>
      <c r="F21" s="7">
        <f>F22+F23</f>
        <v>0</v>
      </c>
      <c r="J21" s="31" t="s">
        <v>37</v>
      </c>
      <c r="L21" s="31">
        <f>D14/L20</f>
        <v>0.1619896911987079</v>
      </c>
    </row>
    <row r="22" spans="1:11" ht="24.75" customHeight="1">
      <c r="A22" s="47" t="s">
        <v>68</v>
      </c>
      <c r="B22" s="44" t="s">
        <v>33</v>
      </c>
      <c r="C22" s="10"/>
      <c r="D22" s="48"/>
      <c r="E22" s="48"/>
      <c r="F22" s="48"/>
      <c r="J22" t="s">
        <v>38</v>
      </c>
      <c r="K22">
        <v>888530000</v>
      </c>
    </row>
    <row r="23" spans="1:12" ht="24.75" customHeight="1">
      <c r="A23" s="47" t="s">
        <v>69</v>
      </c>
      <c r="B23" s="44" t="s">
        <v>35</v>
      </c>
      <c r="C23" s="10"/>
      <c r="D23" s="65"/>
      <c r="E23" s="67"/>
      <c r="F23" s="48"/>
      <c r="J23" t="s">
        <v>39</v>
      </c>
      <c r="L23">
        <f>173+50</f>
        <v>223</v>
      </c>
    </row>
    <row r="24" spans="1:12" ht="24.75" customHeight="1">
      <c r="A24" s="5" t="s">
        <v>3</v>
      </c>
      <c r="B24" s="6" t="s">
        <v>72</v>
      </c>
      <c r="C24" s="7">
        <f>C25</f>
        <v>4665465000</v>
      </c>
      <c r="D24" s="7">
        <f>D25</f>
        <v>1277569619</v>
      </c>
      <c r="E24" s="70"/>
      <c r="F24" s="7"/>
      <c r="J24" t="s">
        <v>62</v>
      </c>
      <c r="L24">
        <f>D15/223000000</f>
        <v>0.4866322869955157</v>
      </c>
    </row>
    <row r="25" spans="1:11" ht="24.75" customHeight="1">
      <c r="A25" s="5">
        <v>1</v>
      </c>
      <c r="B25" s="6" t="s">
        <v>37</v>
      </c>
      <c r="C25" s="7">
        <f>C26+C39</f>
        <v>4665465000</v>
      </c>
      <c r="D25" s="7">
        <f>D26+D39</f>
        <v>1277569619</v>
      </c>
      <c r="E25" s="70"/>
      <c r="F25" s="7"/>
      <c r="J25" t="s">
        <v>12</v>
      </c>
      <c r="K25">
        <v>2733057100</v>
      </c>
    </row>
    <row r="26" spans="1:10" ht="24.75" customHeight="1">
      <c r="A26" s="27" t="s">
        <v>32</v>
      </c>
      <c r="B26" s="28" t="s">
        <v>38</v>
      </c>
      <c r="C26" s="29">
        <f>SUM(C27:C38)</f>
        <v>4665465000</v>
      </c>
      <c r="D26" s="29">
        <f>SUM(D27:D38)</f>
        <v>1277569619</v>
      </c>
      <c r="E26" s="71"/>
      <c r="F26" s="29"/>
      <c r="J26" t="s">
        <v>52</v>
      </c>
    </row>
    <row r="27" spans="1:12" ht="24.75" customHeight="1">
      <c r="A27" s="8"/>
      <c r="B27" s="9" t="s">
        <v>15</v>
      </c>
      <c r="C27" s="10">
        <v>101800000</v>
      </c>
      <c r="D27" s="48"/>
      <c r="E27" s="67">
        <v>0</v>
      </c>
      <c r="F27" s="48">
        <v>0</v>
      </c>
      <c r="H27" s="76">
        <f aca="true" t="shared" si="0" ref="H27:H37">D27/C27</f>
        <v>0</v>
      </c>
      <c r="J27" t="s">
        <v>63</v>
      </c>
      <c r="K27">
        <v>4665465000</v>
      </c>
      <c r="L27" s="77">
        <f>K27-C26</f>
        <v>0</v>
      </c>
    </row>
    <row r="28" spans="1:10" ht="24.75" customHeight="1">
      <c r="A28" s="8"/>
      <c r="B28" s="9" t="s">
        <v>6</v>
      </c>
      <c r="C28" s="10">
        <f>3241465000-4500000+402000000</f>
        <v>3638965000</v>
      </c>
      <c r="D28" s="75">
        <v>977166417</v>
      </c>
      <c r="E28" s="67">
        <v>0.27</v>
      </c>
      <c r="F28" s="67">
        <v>0.84</v>
      </c>
      <c r="H28" s="76">
        <f t="shared" si="0"/>
        <v>0.2685286659805741</v>
      </c>
      <c r="J28" t="s">
        <v>33</v>
      </c>
    </row>
    <row r="29" spans="1:12" ht="24.75" customHeight="1">
      <c r="A29" s="8"/>
      <c r="B29" s="9" t="s">
        <v>24</v>
      </c>
      <c r="C29" s="10">
        <v>4500000</v>
      </c>
      <c r="D29" s="75"/>
      <c r="E29" s="67">
        <v>0</v>
      </c>
      <c r="F29" s="48"/>
      <c r="H29" s="76">
        <f t="shared" si="0"/>
        <v>0</v>
      </c>
      <c r="J29" t="s">
        <v>35</v>
      </c>
      <c r="K29">
        <v>1989486000</v>
      </c>
      <c r="L29" s="77">
        <f>K29-C26</f>
        <v>-2675979000</v>
      </c>
    </row>
    <row r="30" spans="1:10" ht="24.75" customHeight="1">
      <c r="A30" s="48"/>
      <c r="B30" s="21" t="s">
        <v>25</v>
      </c>
      <c r="C30" s="10">
        <v>248000000</v>
      </c>
      <c r="D30" s="75">
        <v>65818384</v>
      </c>
      <c r="E30" s="67">
        <v>0.27</v>
      </c>
      <c r="F30" s="67">
        <v>1.11</v>
      </c>
      <c r="H30" s="76">
        <f t="shared" si="0"/>
        <v>0.26539670967741935</v>
      </c>
      <c r="J30" t="s">
        <v>62</v>
      </c>
    </row>
    <row r="31" spans="1:10" ht="24.75" customHeight="1">
      <c r="A31" s="48"/>
      <c r="B31" s="21" t="s">
        <v>81</v>
      </c>
      <c r="C31" s="10">
        <v>52278000</v>
      </c>
      <c r="D31" s="75">
        <v>2754909</v>
      </c>
      <c r="E31" s="67">
        <v>0.05</v>
      </c>
      <c r="F31" s="67">
        <v>0.8</v>
      </c>
      <c r="H31" s="76">
        <f t="shared" si="0"/>
        <v>0.05269729140364972</v>
      </c>
      <c r="J31" t="s">
        <v>12</v>
      </c>
    </row>
    <row r="32" spans="1:10" ht="24.75" customHeight="1">
      <c r="A32" s="48"/>
      <c r="B32" s="21" t="s">
        <v>86</v>
      </c>
      <c r="C32" s="10">
        <v>17400000</v>
      </c>
      <c r="D32" s="75">
        <v>2754909</v>
      </c>
      <c r="E32" s="67">
        <v>0.16</v>
      </c>
      <c r="F32" s="67">
        <v>0.8</v>
      </c>
      <c r="H32" s="76">
        <f>D32/C32</f>
        <v>0.15832810344827586</v>
      </c>
      <c r="J32" t="s">
        <v>12</v>
      </c>
    </row>
    <row r="33" spans="1:10" ht="24.75" customHeight="1">
      <c r="A33" s="48"/>
      <c r="B33" s="21" t="s">
        <v>26</v>
      </c>
      <c r="C33" s="10">
        <v>139464000</v>
      </c>
      <c r="D33" s="75"/>
      <c r="E33" s="67"/>
      <c r="F33" s="67"/>
      <c r="H33" s="76">
        <f t="shared" si="0"/>
        <v>0</v>
      </c>
      <c r="J33" t="s">
        <v>20</v>
      </c>
    </row>
    <row r="34" spans="1:10" ht="24.75" customHeight="1">
      <c r="A34" s="48"/>
      <c r="B34" s="21" t="s">
        <v>28</v>
      </c>
      <c r="C34" s="10">
        <v>85658000</v>
      </c>
      <c r="D34" s="75">
        <v>5085000</v>
      </c>
      <c r="E34" s="67">
        <v>0.06</v>
      </c>
      <c r="F34" s="67">
        <v>0.67</v>
      </c>
      <c r="H34" s="76">
        <f t="shared" si="0"/>
        <v>0.05936398234840879</v>
      </c>
      <c r="J34" t="s">
        <v>37</v>
      </c>
    </row>
    <row r="35" spans="1:11" ht="24.75" customHeight="1">
      <c r="A35" s="48"/>
      <c r="B35" s="21" t="s">
        <v>27</v>
      </c>
      <c r="C35" s="10">
        <v>26400000</v>
      </c>
      <c r="D35" s="75">
        <v>6600000</v>
      </c>
      <c r="E35" s="67">
        <v>0.25</v>
      </c>
      <c r="F35" s="67">
        <v>1.25</v>
      </c>
      <c r="H35" s="76">
        <f t="shared" si="0"/>
        <v>0.25</v>
      </c>
      <c r="J35" t="s">
        <v>38</v>
      </c>
      <c r="K35">
        <v>6558440000</v>
      </c>
    </row>
    <row r="36" spans="1:10" ht="24.75" customHeight="1">
      <c r="A36" s="8"/>
      <c r="B36" s="9" t="s">
        <v>7</v>
      </c>
      <c r="C36" s="10">
        <v>264000000</v>
      </c>
      <c r="D36" s="75">
        <v>217390000</v>
      </c>
      <c r="E36" s="67">
        <v>0.82</v>
      </c>
      <c r="F36" s="67">
        <v>1.3</v>
      </c>
      <c r="H36" s="76">
        <f t="shared" si="0"/>
        <v>0.8234469696969697</v>
      </c>
      <c r="J36" t="s">
        <v>15</v>
      </c>
    </row>
    <row r="37" spans="1:11" ht="24.75" customHeight="1">
      <c r="A37" s="8"/>
      <c r="B37" s="9" t="s">
        <v>8</v>
      </c>
      <c r="C37" s="10">
        <v>87000000</v>
      </c>
      <c r="D37" s="75"/>
      <c r="E37" s="67"/>
      <c r="F37" s="67"/>
      <c r="H37" s="76">
        <f t="shared" si="0"/>
        <v>0</v>
      </c>
      <c r="J37" t="s">
        <v>6</v>
      </c>
      <c r="K37">
        <v>4621176495</v>
      </c>
    </row>
    <row r="38" spans="1:10" ht="24.75" customHeight="1">
      <c r="A38" s="8"/>
      <c r="B38" s="9" t="s">
        <v>9</v>
      </c>
      <c r="C38" s="10"/>
      <c r="D38" s="75"/>
      <c r="E38" s="48"/>
      <c r="F38" s="48"/>
      <c r="J38" t="s">
        <v>24</v>
      </c>
    </row>
    <row r="39" spans="1:11" s="30" customFormat="1" ht="38.25" customHeight="1">
      <c r="A39" s="27" t="s">
        <v>34</v>
      </c>
      <c r="B39" s="28" t="s">
        <v>39</v>
      </c>
      <c r="C39" s="29">
        <f>C40</f>
        <v>0</v>
      </c>
      <c r="D39" s="29">
        <f>D40</f>
        <v>0</v>
      </c>
      <c r="E39" s="69"/>
      <c r="F39" s="29"/>
      <c r="J39" s="30" t="s">
        <v>25</v>
      </c>
      <c r="K39" s="30">
        <v>292453553</v>
      </c>
    </row>
    <row r="40" spans="1:11" s="64" customFormat="1" ht="24.75" customHeight="1">
      <c r="A40" s="8" t="s">
        <v>40</v>
      </c>
      <c r="B40" s="9" t="s">
        <v>21</v>
      </c>
      <c r="C40" s="10"/>
      <c r="D40" s="10"/>
      <c r="E40" s="67"/>
      <c r="F40" s="68"/>
      <c r="J40" s="64" t="s">
        <v>81</v>
      </c>
      <c r="K40" s="64">
        <v>95915052</v>
      </c>
    </row>
    <row r="41" spans="1:11" ht="24.75" customHeight="1">
      <c r="A41" s="14"/>
      <c r="B41" s="15" t="s">
        <v>71</v>
      </c>
      <c r="C41" s="16"/>
      <c r="D41" s="49"/>
      <c r="E41" s="49"/>
      <c r="F41" s="49"/>
      <c r="J41" t="s">
        <v>7</v>
      </c>
      <c r="K41">
        <v>1344142900</v>
      </c>
    </row>
    <row r="42" spans="1:11" ht="24.75" customHeight="1">
      <c r="A42" s="22"/>
      <c r="B42" s="23"/>
      <c r="C42" s="24"/>
      <c r="D42" s="60"/>
      <c r="E42" s="60"/>
      <c r="F42" s="60"/>
      <c r="J42" t="s">
        <v>8</v>
      </c>
      <c r="K42">
        <v>93040000</v>
      </c>
    </row>
    <row r="43" spans="4:10" ht="16.5">
      <c r="D43" s="154" t="s">
        <v>90</v>
      </c>
      <c r="E43" s="154"/>
      <c r="F43" s="154"/>
      <c r="J43" t="s">
        <v>9</v>
      </c>
    </row>
    <row r="44" spans="4:6" ht="15.75">
      <c r="D44" s="157" t="s">
        <v>60</v>
      </c>
      <c r="E44" s="157"/>
      <c r="F44" s="157"/>
    </row>
    <row r="45" spans="4:6" ht="15.75">
      <c r="D45" s="1"/>
      <c r="E45" s="1"/>
      <c r="F45" s="1"/>
    </row>
    <row r="46" spans="4:6" ht="15.75">
      <c r="D46" s="1"/>
      <c r="E46" s="1"/>
      <c r="F46" s="1"/>
    </row>
    <row r="47" spans="4:6" ht="15.75">
      <c r="D47" s="1"/>
      <c r="E47" s="1"/>
      <c r="F47" s="1"/>
    </row>
    <row r="48" spans="4:6" ht="15.75">
      <c r="D48" s="1"/>
      <c r="E48" s="1"/>
      <c r="F48" s="1"/>
    </row>
    <row r="49" spans="4:6" ht="15.75">
      <c r="D49" s="162" t="s">
        <v>82</v>
      </c>
      <c r="E49" s="162"/>
      <c r="F49" s="162"/>
    </row>
    <row r="50" spans="2:6" ht="15.75">
      <c r="B50" s="59" t="s">
        <v>76</v>
      </c>
      <c r="D50" s="1"/>
      <c r="E50" s="1"/>
      <c r="F50" s="1"/>
    </row>
    <row r="51" spans="2:6" ht="23.25" customHeight="1">
      <c r="B51" s="61" t="s">
        <v>75</v>
      </c>
      <c r="D51" s="1"/>
      <c r="E51" s="1"/>
      <c r="F51" s="1"/>
    </row>
    <row r="52" spans="2:7" ht="21.75" customHeight="1">
      <c r="B52" s="61" t="s">
        <v>77</v>
      </c>
      <c r="C52" s="1"/>
      <c r="D52" s="1"/>
      <c r="E52" s="1"/>
      <c r="F52" s="1"/>
      <c r="G52" s="1"/>
    </row>
    <row r="53" spans="4:6" ht="15.75">
      <c r="D53" s="1"/>
      <c r="E53" s="1"/>
      <c r="F53" s="1"/>
    </row>
    <row r="54" spans="4:6" ht="16.5">
      <c r="D54" s="159"/>
      <c r="E54" s="159"/>
      <c r="F54" s="159"/>
    </row>
    <row r="55" spans="4:6" ht="15.75">
      <c r="D55" s="1"/>
      <c r="E55" s="1"/>
      <c r="F55" s="1"/>
    </row>
  </sheetData>
  <sheetProtection/>
  <mergeCells count="13">
    <mergeCell ref="D44:F44"/>
    <mergeCell ref="D54:F54"/>
    <mergeCell ref="D6:D7"/>
    <mergeCell ref="E6:F6"/>
    <mergeCell ref="D49:F49"/>
    <mergeCell ref="C6:C7"/>
    <mergeCell ref="B6:B7"/>
    <mergeCell ref="A6:A7"/>
    <mergeCell ref="D43:F43"/>
    <mergeCell ref="D1:F1"/>
    <mergeCell ref="D2:F2"/>
    <mergeCell ref="A3:F3"/>
    <mergeCell ref="A4:F4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zoomScalePageLayoutView="0" workbookViewId="0" topLeftCell="A1">
      <selection activeCell="A29" sqref="A29:IV29"/>
    </sheetView>
  </sheetViews>
  <sheetFormatPr defaultColWidth="8.796875" defaultRowHeight="15"/>
  <cols>
    <col min="1" max="1" width="8.296875" style="0" customWidth="1"/>
    <col min="2" max="2" width="50.3984375" style="0" customWidth="1"/>
    <col min="3" max="3" width="26.796875" style="0" customWidth="1"/>
    <col min="5" max="6" width="13.69921875" style="0" customWidth="1"/>
  </cols>
  <sheetData>
    <row r="1" spans="1:3" ht="23.25" customHeight="1">
      <c r="A1" s="19" t="s">
        <v>80</v>
      </c>
      <c r="B1" s="32"/>
      <c r="C1" s="35" t="s">
        <v>29</v>
      </c>
    </row>
    <row r="2" spans="1:3" ht="33" customHeight="1">
      <c r="A2" s="17" t="s">
        <v>79</v>
      </c>
      <c r="B2" s="78"/>
      <c r="C2" s="78"/>
    </row>
    <row r="3" spans="1:3" ht="34.5" customHeight="1">
      <c r="A3" s="164" t="s">
        <v>87</v>
      </c>
      <c r="B3" s="164"/>
      <c r="C3" s="164"/>
    </row>
    <row r="4" spans="1:7" ht="21" customHeight="1">
      <c r="A4" s="165" t="s">
        <v>88</v>
      </c>
      <c r="B4" s="165"/>
      <c r="C4" s="165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83</v>
      </c>
      <c r="C8" s="7">
        <f>C9+C10</f>
        <v>2209600000</v>
      </c>
    </row>
    <row r="9" spans="1:3" ht="24.75" customHeight="1">
      <c r="A9" s="8" t="s">
        <v>32</v>
      </c>
      <c r="B9" s="9" t="s">
        <v>84</v>
      </c>
      <c r="C9" s="10">
        <v>668800000</v>
      </c>
    </row>
    <row r="10" spans="1:3" ht="24.75" customHeight="1">
      <c r="A10" s="8" t="s">
        <v>34</v>
      </c>
      <c r="B10" s="9" t="s">
        <v>85</v>
      </c>
      <c r="C10" s="10">
        <f>2209600000-C9</f>
        <v>1540800000</v>
      </c>
    </row>
    <row r="11" spans="1:3" ht="24.75" customHeight="1">
      <c r="A11" s="5">
        <v>2</v>
      </c>
      <c r="B11" s="6" t="s">
        <v>36</v>
      </c>
      <c r="C11" s="7">
        <f>C12+C15</f>
        <v>2209600000</v>
      </c>
    </row>
    <row r="12" spans="1:3" ht="24.75" customHeight="1">
      <c r="A12" s="8" t="s">
        <v>65</v>
      </c>
      <c r="B12" s="9" t="s">
        <v>66</v>
      </c>
      <c r="C12" s="10">
        <f>C13+C14</f>
        <v>2209600000</v>
      </c>
    </row>
    <row r="13" spans="1:3" ht="24.75" customHeight="1">
      <c r="A13" s="8" t="s">
        <v>17</v>
      </c>
      <c r="B13" s="43" t="s">
        <v>49</v>
      </c>
      <c r="C13" s="10">
        <f>C8</f>
        <v>2209600000</v>
      </c>
    </row>
    <row r="14" spans="1:3" ht="24.75" customHeight="1">
      <c r="A14" s="8" t="s">
        <v>18</v>
      </c>
      <c r="B14" s="44" t="s">
        <v>50</v>
      </c>
      <c r="C14" s="29"/>
    </row>
    <row r="15" spans="1:7" ht="24.75" customHeight="1">
      <c r="A15" s="8" t="s">
        <v>67</v>
      </c>
      <c r="B15" s="44" t="s">
        <v>37</v>
      </c>
      <c r="C15" s="10">
        <f>C16</f>
        <v>0</v>
      </c>
      <c r="G15">
        <f>21+15</f>
        <v>36</v>
      </c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10"/>
    </row>
    <row r="22" spans="1:3" ht="24.75" customHeight="1">
      <c r="A22" s="27" t="s">
        <v>32</v>
      </c>
      <c r="B22" s="28" t="s">
        <v>38</v>
      </c>
      <c r="C22" s="7">
        <f>SUM(C23:C34)</f>
        <v>4665465000</v>
      </c>
    </row>
    <row r="23" spans="1:3" ht="24.75" customHeight="1">
      <c r="A23" s="8"/>
      <c r="B23" s="9" t="s">
        <v>15</v>
      </c>
      <c r="C23" s="10">
        <v>101800000</v>
      </c>
    </row>
    <row r="24" spans="1:6" ht="24.75" customHeight="1">
      <c r="A24" s="8"/>
      <c r="B24" s="9" t="s">
        <v>6</v>
      </c>
      <c r="C24" s="10">
        <f>3236965000+402000000</f>
        <v>3638965000</v>
      </c>
      <c r="E24" s="77">
        <f>C22-4263465000</f>
        <v>402000000</v>
      </c>
      <c r="F24" s="77">
        <f>3241465000-C25</f>
        <v>3236965000</v>
      </c>
    </row>
    <row r="25" spans="1:6" ht="24.75" customHeight="1">
      <c r="A25" s="8"/>
      <c r="B25" s="9" t="s">
        <v>24</v>
      </c>
      <c r="C25" s="10">
        <v>4500000</v>
      </c>
      <c r="F25" s="77">
        <f>C24+C25</f>
        <v>3643465000</v>
      </c>
    </row>
    <row r="26" spans="1:6" ht="24.75" customHeight="1">
      <c r="A26" s="8"/>
      <c r="B26" s="9" t="s">
        <v>81</v>
      </c>
      <c r="C26" s="10">
        <v>52278000</v>
      </c>
      <c r="F26" s="77">
        <f>C26+C27+C28+C29+C30+C31+C32+C33</f>
        <v>920200000</v>
      </c>
    </row>
    <row r="27" spans="1:3" ht="24.75" customHeight="1">
      <c r="A27" s="8"/>
      <c r="B27" s="9" t="s">
        <v>86</v>
      </c>
      <c r="C27" s="10">
        <v>17400000</v>
      </c>
    </row>
    <row r="28" spans="1:11" ht="24.75" customHeight="1">
      <c r="A28" s="48"/>
      <c r="B28" s="21" t="s">
        <v>25</v>
      </c>
      <c r="C28" s="10">
        <v>248000000</v>
      </c>
      <c r="G28">
        <v>4800</v>
      </c>
      <c r="I28">
        <f aca="true" t="shared" si="0" ref="I28:I33">I27+G28-H28</f>
        <v>4800</v>
      </c>
      <c r="K28">
        <f>600*5</f>
        <v>3000</v>
      </c>
    </row>
    <row r="29" spans="1:9" ht="24.75" customHeight="1">
      <c r="A29" s="48"/>
      <c r="B29" s="21" t="s">
        <v>26</v>
      </c>
      <c r="C29" s="10">
        <v>139464000</v>
      </c>
      <c r="H29">
        <v>3600</v>
      </c>
      <c r="I29">
        <f t="shared" si="0"/>
        <v>1200</v>
      </c>
    </row>
    <row r="30" spans="1:9" ht="24.75" customHeight="1">
      <c r="A30" s="48"/>
      <c r="B30" s="21" t="s">
        <v>28</v>
      </c>
      <c r="C30" s="10">
        <v>85658000</v>
      </c>
      <c r="G30">
        <v>2400</v>
      </c>
      <c r="I30">
        <f t="shared" si="0"/>
        <v>3600</v>
      </c>
    </row>
    <row r="31" spans="1:9" ht="24.75" customHeight="1">
      <c r="A31" s="48"/>
      <c r="B31" s="21" t="s">
        <v>27</v>
      </c>
      <c r="C31" s="10">
        <v>26400000</v>
      </c>
      <c r="H31">
        <v>1800</v>
      </c>
      <c r="I31">
        <f t="shared" si="0"/>
        <v>1800</v>
      </c>
    </row>
    <row r="32" spans="1:9" ht="24.75" customHeight="1">
      <c r="A32" s="8"/>
      <c r="B32" s="9" t="s">
        <v>7</v>
      </c>
      <c r="C32" s="10">
        <v>264000000</v>
      </c>
      <c r="G32">
        <v>4800</v>
      </c>
      <c r="I32">
        <f t="shared" si="0"/>
        <v>6600</v>
      </c>
    </row>
    <row r="33" spans="1:9" ht="24.75" customHeight="1">
      <c r="A33" s="8"/>
      <c r="B33" s="9" t="s">
        <v>8</v>
      </c>
      <c r="C33" s="10">
        <f>20000000+54000000+13000000</f>
        <v>87000000</v>
      </c>
      <c r="H33">
        <v>3600</v>
      </c>
      <c r="I33">
        <f t="shared" si="0"/>
        <v>3000</v>
      </c>
    </row>
    <row r="34" spans="1:10" s="30" customFormat="1" ht="24.75" customHeight="1">
      <c r="A34" s="8"/>
      <c r="B34" s="9" t="s">
        <v>9</v>
      </c>
      <c r="C34" s="29"/>
      <c r="J34" s="30">
        <f>25/550</f>
        <v>0.045454545454545456</v>
      </c>
    </row>
    <row r="35" spans="1:10" ht="24.75" customHeight="1">
      <c r="A35" s="27" t="s">
        <v>34</v>
      </c>
      <c r="B35" s="28" t="s">
        <v>39</v>
      </c>
      <c r="C35" s="7"/>
      <c r="J35">
        <f>J34*10</f>
        <v>0.4545454545454546</v>
      </c>
    </row>
    <row r="36" spans="1:10" ht="24.75" customHeight="1">
      <c r="A36" s="8" t="s">
        <v>40</v>
      </c>
      <c r="B36" s="9" t="s">
        <v>21</v>
      </c>
      <c r="C36" s="10"/>
      <c r="J36">
        <f>3/550</f>
        <v>0.005454545454545455</v>
      </c>
    </row>
    <row r="37" spans="1:10" ht="24.75" customHeight="1">
      <c r="A37" s="8"/>
      <c r="B37" s="9" t="s">
        <v>70</v>
      </c>
      <c r="C37" s="10"/>
      <c r="J37">
        <f>J36*10</f>
        <v>0.05454545454545455</v>
      </c>
    </row>
    <row r="38" spans="1:10" ht="18.75" customHeight="1">
      <c r="A38" s="22"/>
      <c r="B38" s="23"/>
      <c r="J38">
        <f>15/550</f>
        <v>0.02727272727272727</v>
      </c>
    </row>
    <row r="39" spans="3:10" ht="16.5">
      <c r="C39" s="33" t="s">
        <v>59</v>
      </c>
      <c r="D39" s="40"/>
      <c r="E39" s="40"/>
      <c r="J39">
        <f>J38*10</f>
        <v>0.2727272727272727</v>
      </c>
    </row>
    <row r="40" spans="3:5" ht="21.75" customHeight="1">
      <c r="C40" s="11" t="s">
        <v>60</v>
      </c>
      <c r="D40" s="19"/>
      <c r="E40" s="19"/>
    </row>
    <row r="41" spans="3:5" ht="15.75">
      <c r="C41" s="36"/>
      <c r="D41" s="1"/>
      <c r="E41" s="1"/>
    </row>
    <row r="42" spans="3:5" ht="15.75">
      <c r="C42" s="36"/>
      <c r="D42" s="1"/>
      <c r="E42" s="1"/>
    </row>
    <row r="43" spans="3:5" ht="15.75">
      <c r="C43" s="36"/>
      <c r="D43" s="1"/>
      <c r="E43" s="1"/>
    </row>
    <row r="44" spans="3:5" ht="15.75">
      <c r="C44" s="36"/>
      <c r="D44" s="1"/>
      <c r="E44" s="1"/>
    </row>
    <row r="45" spans="3:5" ht="18.75">
      <c r="C45" s="73" t="s">
        <v>82</v>
      </c>
      <c r="D45" s="1"/>
      <c r="E45" s="1"/>
    </row>
    <row r="46" spans="3:5" ht="15.75">
      <c r="C46" s="36"/>
      <c r="D46" s="1"/>
      <c r="E46" s="1"/>
    </row>
    <row r="47" spans="3:5" ht="15.75">
      <c r="C47" s="36"/>
      <c r="D47" s="1"/>
      <c r="E47" s="1"/>
    </row>
    <row r="48" spans="3:5" ht="15.75">
      <c r="C48" s="36"/>
      <c r="D48" s="1"/>
      <c r="E48" s="1"/>
    </row>
    <row r="49" spans="3:5" ht="15.75">
      <c r="C49" s="36"/>
      <c r="D49" s="1"/>
      <c r="E49" s="1"/>
    </row>
    <row r="50" spans="3:5" ht="15.75">
      <c r="C50" s="36"/>
      <c r="D50" s="1"/>
      <c r="E50" s="1"/>
    </row>
    <row r="51" spans="2:5" ht="15.75">
      <c r="B51" s="59" t="s">
        <v>74</v>
      </c>
      <c r="C51" s="36"/>
      <c r="D51" s="1"/>
      <c r="E51" s="1"/>
    </row>
    <row r="52" spans="3:5" ht="15.75">
      <c r="C52" s="36"/>
      <c r="D52" s="1"/>
      <c r="E52" s="1"/>
    </row>
    <row r="53" spans="3:5" ht="15.75">
      <c r="C53" s="36"/>
      <c r="D53" s="1"/>
      <c r="E53" s="1"/>
    </row>
    <row r="54" spans="3:5" ht="15.75">
      <c r="C54" s="36"/>
      <c r="D54" s="1"/>
      <c r="E54" s="1"/>
    </row>
    <row r="55" spans="3:5" ht="16.5">
      <c r="C55" s="18"/>
      <c r="D55" s="41"/>
      <c r="E55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7"/>
  <sheetViews>
    <sheetView zoomScale="75" zoomScaleNormal="75" zoomScalePageLayoutView="0" workbookViewId="0" topLeftCell="A1">
      <selection activeCell="C15" sqref="C15"/>
    </sheetView>
  </sheetViews>
  <sheetFormatPr defaultColWidth="8.796875" defaultRowHeight="15"/>
  <cols>
    <col min="1" max="1" width="6.19921875" style="0" customWidth="1"/>
    <col min="2" max="2" width="24.8984375" style="0" customWidth="1"/>
    <col min="3" max="3" width="12.19921875" style="0" customWidth="1"/>
    <col min="4" max="4" width="12.796875" style="0" customWidth="1"/>
    <col min="5" max="5" width="12.3984375" style="0" customWidth="1"/>
    <col min="6" max="6" width="11.296875" style="0" customWidth="1"/>
    <col min="7" max="7" width="10.8984375" style="0" customWidth="1"/>
    <col min="10" max="10" width="16.69921875" style="0" bestFit="1" customWidth="1"/>
  </cols>
  <sheetData>
    <row r="1" spans="1:7" ht="25.5" customHeight="1">
      <c r="A1" s="19" t="s">
        <v>89</v>
      </c>
      <c r="B1" s="32"/>
      <c r="C1" s="32"/>
      <c r="E1" s="155" t="s">
        <v>41</v>
      </c>
      <c r="F1" s="155"/>
      <c r="G1" s="155"/>
    </row>
    <row r="2" spans="1:7" ht="30.75" customHeight="1">
      <c r="A2" s="17" t="s">
        <v>79</v>
      </c>
      <c r="B2" s="38"/>
      <c r="E2" s="156" t="s">
        <v>30</v>
      </c>
      <c r="F2" s="156"/>
      <c r="G2" s="156"/>
    </row>
    <row r="3" spans="1:7" ht="29.25" customHeight="1">
      <c r="A3" s="164" t="s">
        <v>61</v>
      </c>
      <c r="B3" s="164"/>
      <c r="C3" s="164"/>
      <c r="D3" s="164"/>
      <c r="E3" s="164"/>
      <c r="F3" s="164"/>
      <c r="G3" s="164"/>
    </row>
    <row r="4" spans="1:7" ht="18.75" customHeight="1">
      <c r="A4" s="165" t="s">
        <v>97</v>
      </c>
      <c r="B4" s="165"/>
      <c r="C4" s="165"/>
      <c r="D4" s="165"/>
      <c r="E4" s="165"/>
      <c r="F4" s="165"/>
      <c r="G4" s="165"/>
    </row>
    <row r="5" spans="2:7" ht="24" customHeight="1">
      <c r="B5" s="1"/>
      <c r="F5" s="170" t="s">
        <v>91</v>
      </c>
      <c r="G5" s="170"/>
    </row>
    <row r="6" spans="1:7" s="64" customFormat="1" ht="19.5" customHeight="1">
      <c r="A6" s="168" t="s">
        <v>22</v>
      </c>
      <c r="B6" s="168" t="s">
        <v>5</v>
      </c>
      <c r="C6" s="166" t="s">
        <v>13</v>
      </c>
      <c r="D6" s="166" t="s">
        <v>14</v>
      </c>
      <c r="E6" s="171" t="s">
        <v>19</v>
      </c>
      <c r="F6" s="172"/>
      <c r="G6" s="173"/>
    </row>
    <row r="7" spans="1:7" s="64" customFormat="1" ht="32.25" customHeight="1">
      <c r="A7" s="169"/>
      <c r="B7" s="169"/>
      <c r="C7" s="167"/>
      <c r="D7" s="167"/>
      <c r="E7" s="42" t="s">
        <v>42</v>
      </c>
      <c r="F7" s="34" t="s">
        <v>43</v>
      </c>
      <c r="G7" s="34" t="s">
        <v>16</v>
      </c>
    </row>
    <row r="8" spans="1:7" s="64" customFormat="1" ht="24.75" customHeight="1">
      <c r="A8" s="2" t="s">
        <v>2</v>
      </c>
      <c r="B8" s="50" t="s">
        <v>44</v>
      </c>
      <c r="C8" s="51"/>
      <c r="D8" s="51"/>
      <c r="E8" s="2"/>
      <c r="F8" s="51"/>
      <c r="G8" s="51"/>
    </row>
    <row r="9" spans="1:7" s="64" customFormat="1" ht="22.5" customHeight="1">
      <c r="A9" s="5" t="s">
        <v>1</v>
      </c>
      <c r="B9" s="6" t="s">
        <v>23</v>
      </c>
      <c r="C9" s="85">
        <f>C10+C14</f>
        <v>3592530000</v>
      </c>
      <c r="D9" s="85">
        <f>D10+D14</f>
        <v>3592530000</v>
      </c>
      <c r="E9" s="84"/>
      <c r="F9" s="86"/>
      <c r="G9" s="84"/>
    </row>
    <row r="10" spans="1:7" s="64" customFormat="1" ht="22.5" customHeight="1">
      <c r="A10" s="8">
        <v>1</v>
      </c>
      <c r="B10" s="54" t="s">
        <v>31</v>
      </c>
      <c r="C10" s="87">
        <f>C11</f>
        <v>888730000</v>
      </c>
      <c r="D10" s="87">
        <f>D11</f>
        <v>888730000</v>
      </c>
      <c r="E10" s="84"/>
      <c r="F10" s="84"/>
      <c r="G10" s="84"/>
    </row>
    <row r="11" spans="1:7" s="64" customFormat="1" ht="22.5" customHeight="1">
      <c r="A11" s="8" t="s">
        <v>32</v>
      </c>
      <c r="B11" s="54" t="s">
        <v>84</v>
      </c>
      <c r="C11" s="87">
        <f>888730000</f>
        <v>888730000</v>
      </c>
      <c r="D11" s="87">
        <f>888730000</f>
        <v>888730000</v>
      </c>
      <c r="E11" s="84"/>
      <c r="F11" s="84"/>
      <c r="G11" s="84"/>
    </row>
    <row r="12" spans="1:7" s="64" customFormat="1" ht="22.5" customHeight="1">
      <c r="A12" s="8" t="s">
        <v>34</v>
      </c>
      <c r="B12" s="54" t="s">
        <v>35</v>
      </c>
      <c r="C12" s="87"/>
      <c r="D12" s="87"/>
      <c r="E12" s="84"/>
      <c r="F12" s="84"/>
      <c r="G12" s="84"/>
    </row>
    <row r="13" spans="1:7" s="64" customFormat="1" ht="32.25" customHeight="1">
      <c r="A13" s="8">
        <v>2</v>
      </c>
      <c r="B13" s="9" t="s">
        <v>45</v>
      </c>
      <c r="C13" s="88"/>
      <c r="D13" s="88"/>
      <c r="E13" s="84"/>
      <c r="F13" s="84"/>
      <c r="G13" s="84"/>
    </row>
    <row r="14" spans="1:7" s="64" customFormat="1" ht="22.5" customHeight="1">
      <c r="A14" s="8">
        <v>3</v>
      </c>
      <c r="B14" s="54" t="s">
        <v>46</v>
      </c>
      <c r="C14" s="43">
        <f>1564950000+526400000+149625000+149625000+313200000</f>
        <v>2703800000</v>
      </c>
      <c r="D14" s="43">
        <f>1564950000+526400000+149625000+149625000+313200000</f>
        <v>2703800000</v>
      </c>
      <c r="E14" s="84"/>
      <c r="F14" s="84"/>
      <c r="G14" s="84"/>
    </row>
    <row r="15" spans="1:7" s="31" customFormat="1" ht="39" customHeight="1">
      <c r="A15" s="5" t="s">
        <v>4</v>
      </c>
      <c r="B15" s="6" t="s">
        <v>47</v>
      </c>
      <c r="C15" s="94">
        <f>C21+C24</f>
        <v>3621587100</v>
      </c>
      <c r="D15" s="94">
        <f>D21+D24</f>
        <v>3621587100</v>
      </c>
      <c r="E15" s="94">
        <f>E21+E24</f>
        <v>339047780</v>
      </c>
      <c r="F15" s="94">
        <f>F21+F24</f>
        <v>23610000</v>
      </c>
      <c r="G15" s="94">
        <f>G21+G24</f>
        <v>0</v>
      </c>
    </row>
    <row r="16" spans="1:7" s="31" customFormat="1" ht="31.5" customHeight="1">
      <c r="A16" s="5">
        <v>1</v>
      </c>
      <c r="B16" s="6" t="s">
        <v>36</v>
      </c>
      <c r="C16" s="95"/>
      <c r="D16" s="95"/>
      <c r="E16" s="96"/>
      <c r="F16" s="96"/>
      <c r="G16" s="96"/>
    </row>
    <row r="17" spans="1:8" s="31" customFormat="1" ht="22.5" customHeight="1">
      <c r="A17" s="8" t="s">
        <v>32</v>
      </c>
      <c r="B17" s="9" t="s">
        <v>48</v>
      </c>
      <c r="C17" s="97"/>
      <c r="D17" s="97"/>
      <c r="E17" s="84"/>
      <c r="F17" s="84"/>
      <c r="G17" s="84"/>
      <c r="H17" s="64"/>
    </row>
    <row r="18" spans="1:7" s="31" customFormat="1" ht="33.75" customHeight="1">
      <c r="A18" s="8" t="s">
        <v>17</v>
      </c>
      <c r="B18" s="9" t="s">
        <v>49</v>
      </c>
      <c r="C18" s="97"/>
      <c r="D18" s="97"/>
      <c r="E18" s="84"/>
      <c r="F18" s="84"/>
      <c r="G18" s="84"/>
    </row>
    <row r="19" spans="1:7" s="64" customFormat="1" ht="34.5" customHeight="1">
      <c r="A19" s="8" t="s">
        <v>18</v>
      </c>
      <c r="B19" s="54" t="s">
        <v>50</v>
      </c>
      <c r="C19" s="44"/>
      <c r="D19" s="44"/>
      <c r="E19" s="84"/>
      <c r="F19" s="84"/>
      <c r="G19" s="84"/>
    </row>
    <row r="20" spans="1:7" s="64" customFormat="1" ht="28.5" customHeight="1">
      <c r="A20" s="8" t="s">
        <v>34</v>
      </c>
      <c r="B20" s="54" t="s">
        <v>37</v>
      </c>
      <c r="C20" s="44"/>
      <c r="D20" s="44"/>
      <c r="E20" s="84"/>
      <c r="F20" s="84"/>
      <c r="G20" s="84"/>
    </row>
    <row r="21" spans="1:10" s="64" customFormat="1" ht="28.5" customHeight="1">
      <c r="A21" s="8" t="s">
        <v>17</v>
      </c>
      <c r="B21" s="54" t="s">
        <v>38</v>
      </c>
      <c r="C21" s="98">
        <v>888530000</v>
      </c>
      <c r="D21" s="98">
        <v>888530000</v>
      </c>
      <c r="E21" s="99">
        <v>339047780</v>
      </c>
      <c r="F21" s="99">
        <v>9000000</v>
      </c>
      <c r="G21" s="99"/>
      <c r="J21" s="91">
        <f>C21-888530000</f>
        <v>0</v>
      </c>
    </row>
    <row r="22" spans="1:7" s="64" customFormat="1" ht="28.5" customHeight="1">
      <c r="A22" s="8" t="s">
        <v>18</v>
      </c>
      <c r="B22" s="54" t="s">
        <v>39</v>
      </c>
      <c r="C22" s="44"/>
      <c r="D22" s="44"/>
      <c r="E22" s="84"/>
      <c r="F22" s="99"/>
      <c r="G22" s="99"/>
    </row>
    <row r="23" spans="1:7" s="64" customFormat="1" ht="28.5" customHeight="1">
      <c r="A23" s="8">
        <v>2</v>
      </c>
      <c r="B23" s="54" t="s">
        <v>62</v>
      </c>
      <c r="C23" s="44"/>
      <c r="D23" s="44"/>
      <c r="E23" s="84"/>
      <c r="F23" s="99"/>
      <c r="G23" s="99"/>
    </row>
    <row r="24" spans="1:7" s="64" customFormat="1" ht="28.5" customHeight="1">
      <c r="A24" s="8">
        <v>3</v>
      </c>
      <c r="B24" s="54" t="s">
        <v>12</v>
      </c>
      <c r="C24" s="98">
        <v>2733057100</v>
      </c>
      <c r="D24" s="98">
        <v>2733057100</v>
      </c>
      <c r="E24" s="84"/>
      <c r="F24" s="99">
        <v>14610000</v>
      </c>
      <c r="G24" s="99"/>
    </row>
    <row r="25" spans="1:7" s="64" customFormat="1" ht="34.5" customHeight="1">
      <c r="A25" s="5" t="s">
        <v>51</v>
      </c>
      <c r="B25" s="57" t="s">
        <v>52</v>
      </c>
      <c r="C25" s="46"/>
      <c r="D25" s="46"/>
      <c r="E25" s="84"/>
      <c r="F25" s="84"/>
      <c r="G25" s="84"/>
    </row>
    <row r="26" spans="1:7" s="64" customFormat="1" ht="22.5" customHeight="1">
      <c r="A26" s="8">
        <v>1</v>
      </c>
      <c r="B26" s="54" t="s">
        <v>63</v>
      </c>
      <c r="C26" s="54"/>
      <c r="D26" s="54"/>
      <c r="E26" s="63"/>
      <c r="F26" s="63"/>
      <c r="G26" s="63"/>
    </row>
    <row r="27" spans="1:7" s="64" customFormat="1" ht="22.5" customHeight="1">
      <c r="A27" s="8" t="s">
        <v>32</v>
      </c>
      <c r="B27" s="54" t="s">
        <v>33</v>
      </c>
      <c r="C27" s="54"/>
      <c r="D27" s="54"/>
      <c r="E27" s="63"/>
      <c r="F27" s="63"/>
      <c r="G27" s="63"/>
    </row>
    <row r="28" spans="1:7" s="64" customFormat="1" ht="22.5" customHeight="1">
      <c r="A28" s="8" t="s">
        <v>34</v>
      </c>
      <c r="B28" s="54" t="s">
        <v>35</v>
      </c>
      <c r="C28" s="54"/>
      <c r="D28" s="54"/>
      <c r="E28" s="63"/>
      <c r="F28" s="63"/>
      <c r="G28" s="63"/>
    </row>
    <row r="29" spans="1:7" s="64" customFormat="1" ht="35.25" customHeight="1">
      <c r="A29" s="8">
        <v>2</v>
      </c>
      <c r="B29" s="54" t="s">
        <v>62</v>
      </c>
      <c r="C29" s="54"/>
      <c r="D29" s="54"/>
      <c r="E29" s="63"/>
      <c r="F29" s="63"/>
      <c r="G29" s="63"/>
    </row>
    <row r="30" spans="1:7" s="64" customFormat="1" ht="22.5" customHeight="1">
      <c r="A30" s="8"/>
      <c r="B30" s="54" t="s">
        <v>12</v>
      </c>
      <c r="C30" s="54"/>
      <c r="D30" s="54"/>
      <c r="E30" s="63"/>
      <c r="F30" s="63"/>
      <c r="G30" s="63"/>
    </row>
    <row r="31" spans="1:7" s="64" customFormat="1" ht="29.25" customHeight="1">
      <c r="A31" s="5" t="s">
        <v>3</v>
      </c>
      <c r="B31" s="57" t="s">
        <v>20</v>
      </c>
      <c r="C31" s="57"/>
      <c r="D31" s="57"/>
      <c r="E31" s="63"/>
      <c r="F31" s="63"/>
      <c r="G31" s="63"/>
    </row>
    <row r="32" spans="1:7" s="64" customFormat="1" ht="23.25" customHeight="1">
      <c r="A32" s="5">
        <v>1</v>
      </c>
      <c r="B32" s="6" t="s">
        <v>37</v>
      </c>
      <c r="C32" s="7"/>
      <c r="D32" s="7"/>
      <c r="E32" s="63"/>
      <c r="F32" s="63"/>
      <c r="G32" s="63"/>
    </row>
    <row r="33" spans="1:7" s="64" customFormat="1" ht="36.75" customHeight="1">
      <c r="A33" s="27" t="s">
        <v>32</v>
      </c>
      <c r="B33" s="28" t="s">
        <v>38</v>
      </c>
      <c r="C33" s="82">
        <f>SUM(C34:C44)</f>
        <v>6558440000</v>
      </c>
      <c r="D33" s="82">
        <f>SUM(D34:D44)</f>
        <v>6558440000</v>
      </c>
      <c r="E33" s="82">
        <f>SUM(E34:E44)</f>
        <v>4621176495</v>
      </c>
      <c r="F33" s="82">
        <f>SUM(F34:F44)</f>
        <v>93040000</v>
      </c>
      <c r="G33" s="82">
        <f>SUM(G34:G44)</f>
        <v>0</v>
      </c>
    </row>
    <row r="34" spans="1:7" s="64" customFormat="1" ht="25.5" customHeight="1">
      <c r="A34" s="8"/>
      <c r="B34" s="9" t="s">
        <v>15</v>
      </c>
      <c r="C34" s="83"/>
      <c r="D34" s="83"/>
      <c r="E34" s="84"/>
      <c r="F34" s="84"/>
      <c r="G34" s="84"/>
    </row>
    <row r="35" spans="1:7" s="64" customFormat="1" ht="25.5" customHeight="1">
      <c r="A35" s="8"/>
      <c r="B35" s="9" t="s">
        <v>6</v>
      </c>
      <c r="C35" s="83">
        <v>4621176495</v>
      </c>
      <c r="D35" s="83">
        <v>4621176495</v>
      </c>
      <c r="E35" s="83">
        <v>4621176495</v>
      </c>
      <c r="F35" s="83"/>
      <c r="G35" s="83"/>
    </row>
    <row r="36" spans="1:7" s="64" customFormat="1" ht="25.5" customHeight="1">
      <c r="A36" s="8"/>
      <c r="B36" s="9" t="s">
        <v>24</v>
      </c>
      <c r="C36" s="83"/>
      <c r="D36" s="83"/>
      <c r="E36" s="83"/>
      <c r="F36" s="83"/>
      <c r="G36" s="83"/>
    </row>
    <row r="37" spans="1:7" s="64" customFormat="1" ht="25.5" customHeight="1">
      <c r="A37" s="63"/>
      <c r="B37" s="21" t="s">
        <v>25</v>
      </c>
      <c r="C37" s="83">
        <f>238309553+54144000</f>
        <v>292453553</v>
      </c>
      <c r="D37" s="83">
        <f>238309553+54144000</f>
        <v>292453553</v>
      </c>
      <c r="E37" s="83"/>
      <c r="F37" s="83"/>
      <c r="G37" s="83"/>
    </row>
    <row r="38" spans="1:7" s="64" customFormat="1" ht="25.5" customHeight="1">
      <c r="A38" s="63"/>
      <c r="B38" s="21" t="s">
        <v>81</v>
      </c>
      <c r="C38" s="83">
        <v>95915052</v>
      </c>
      <c r="D38" s="83">
        <v>95915052</v>
      </c>
      <c r="E38" s="83"/>
      <c r="F38" s="83"/>
      <c r="G38" s="83"/>
    </row>
    <row r="39" spans="1:10" s="64" customFormat="1" ht="25.5" customHeight="1">
      <c r="A39" s="63"/>
      <c r="B39" s="21" t="s">
        <v>26</v>
      </c>
      <c r="C39" s="83">
        <v>11540000</v>
      </c>
      <c r="D39" s="83">
        <v>11540000</v>
      </c>
      <c r="E39" s="83"/>
      <c r="F39" s="83"/>
      <c r="G39" s="83"/>
      <c r="J39" s="92">
        <v>6558440000</v>
      </c>
    </row>
    <row r="40" spans="1:10" s="64" customFormat="1" ht="25.5" customHeight="1">
      <c r="A40" s="63"/>
      <c r="B40" s="21" t="s">
        <v>28</v>
      </c>
      <c r="C40" s="83">
        <v>82472000</v>
      </c>
      <c r="D40" s="83">
        <v>82472000</v>
      </c>
      <c r="E40" s="83"/>
      <c r="F40" s="83"/>
      <c r="G40" s="83"/>
      <c r="J40" s="93">
        <f>J39-C33</f>
        <v>0</v>
      </c>
    </row>
    <row r="41" spans="1:13" s="64" customFormat="1" ht="25.5" customHeight="1">
      <c r="A41" s="63"/>
      <c r="B41" s="21" t="s">
        <v>27</v>
      </c>
      <c r="C41" s="83">
        <v>17700000</v>
      </c>
      <c r="D41" s="83">
        <v>17700000</v>
      </c>
      <c r="E41" s="83"/>
      <c r="F41" s="83"/>
      <c r="G41" s="83"/>
      <c r="M41" s="64">
        <v>95915052</v>
      </c>
    </row>
    <row r="42" spans="1:7" s="64" customFormat="1" ht="25.5" customHeight="1">
      <c r="A42" s="8"/>
      <c r="B42" s="9" t="s">
        <v>7</v>
      </c>
      <c r="C42" s="83">
        <v>1344142900</v>
      </c>
      <c r="D42" s="83">
        <v>1344142900</v>
      </c>
      <c r="E42" s="83"/>
      <c r="F42" s="83"/>
      <c r="G42" s="83"/>
    </row>
    <row r="43" spans="1:7" s="64" customFormat="1" ht="25.5" customHeight="1">
      <c r="A43" s="8"/>
      <c r="B43" s="9" t="s">
        <v>8</v>
      </c>
      <c r="C43" s="83">
        <f>87040000+6000000</f>
        <v>93040000</v>
      </c>
      <c r="D43" s="83">
        <f>87040000+6000000</f>
        <v>93040000</v>
      </c>
      <c r="E43" s="83"/>
      <c r="F43" s="83">
        <f>87040000+6000000</f>
        <v>93040000</v>
      </c>
      <c r="G43" s="83"/>
    </row>
    <row r="44" spans="1:7" s="64" customFormat="1" ht="25.5" customHeight="1">
      <c r="A44" s="8"/>
      <c r="B44" s="9" t="s">
        <v>9</v>
      </c>
      <c r="C44" s="10"/>
      <c r="D44" s="63"/>
      <c r="E44" s="63"/>
      <c r="F44" s="63"/>
      <c r="G44" s="63"/>
    </row>
    <row r="45" spans="1:7" s="30" customFormat="1" ht="38.25" customHeight="1">
      <c r="A45" s="27" t="s">
        <v>34</v>
      </c>
      <c r="B45" s="28" t="s">
        <v>39</v>
      </c>
      <c r="C45" s="29"/>
      <c r="D45" s="58"/>
      <c r="E45" s="58"/>
      <c r="F45" s="58"/>
      <c r="G45" s="58"/>
    </row>
    <row r="46" spans="1:7" s="64" customFormat="1" ht="25.5" customHeight="1">
      <c r="A46" s="5" t="s">
        <v>40</v>
      </c>
      <c r="B46" s="6" t="s">
        <v>21</v>
      </c>
      <c r="C46" s="7"/>
      <c r="D46" s="63"/>
      <c r="E46" s="63"/>
      <c r="F46" s="63"/>
      <c r="G46" s="63"/>
    </row>
    <row r="47" spans="1:7" s="64" customFormat="1" ht="25.5" customHeight="1">
      <c r="A47" s="8"/>
      <c r="B47" s="9"/>
      <c r="C47" s="10"/>
      <c r="D47" s="63"/>
      <c r="E47" s="63"/>
      <c r="F47" s="63"/>
      <c r="G47" s="63"/>
    </row>
    <row r="49" spans="5:7" ht="16.5">
      <c r="E49" s="154" t="s">
        <v>59</v>
      </c>
      <c r="F49" s="154"/>
      <c r="G49" s="154"/>
    </row>
    <row r="50" spans="5:7" ht="15.75">
      <c r="E50" s="157" t="s">
        <v>60</v>
      </c>
      <c r="F50" s="157"/>
      <c r="G50" s="157"/>
    </row>
    <row r="51" spans="5:7" ht="15.75">
      <c r="E51" s="11"/>
      <c r="F51" s="11"/>
      <c r="G51" s="11"/>
    </row>
    <row r="52" spans="5:7" ht="15.75">
      <c r="E52" s="11"/>
      <c r="F52" s="11"/>
      <c r="G52" s="11"/>
    </row>
    <row r="53" spans="5:7" ht="15.75">
      <c r="E53" s="11"/>
      <c r="F53" s="11"/>
      <c r="G53" s="11"/>
    </row>
    <row r="54" spans="5:7" ht="15.75">
      <c r="E54" s="11"/>
      <c r="F54" s="11"/>
      <c r="G54" s="11"/>
    </row>
    <row r="55" spans="5:7" ht="15.75">
      <c r="E55" s="11"/>
      <c r="F55" s="36" t="s">
        <v>82</v>
      </c>
      <c r="G55" s="11"/>
    </row>
    <row r="56" spans="5:7" ht="15.75">
      <c r="E56" s="11"/>
      <c r="F56" s="11"/>
      <c r="G56" s="11"/>
    </row>
    <row r="57" spans="5:7" ht="15.75">
      <c r="E57" s="11"/>
      <c r="F57" s="11"/>
      <c r="G57" s="11"/>
    </row>
    <row r="58" spans="5:7" ht="15.75">
      <c r="E58" s="11"/>
      <c r="F58" s="11"/>
      <c r="G58" s="11"/>
    </row>
    <row r="59" spans="5:7" ht="15.75">
      <c r="E59" s="11"/>
      <c r="F59" s="11"/>
      <c r="G59" s="11"/>
    </row>
    <row r="60" spans="5:7" ht="15.75">
      <c r="E60" s="11"/>
      <c r="F60" s="11"/>
      <c r="G60" s="11"/>
    </row>
    <row r="61" spans="5:7" ht="15.75">
      <c r="E61" s="11"/>
      <c r="F61" s="11"/>
      <c r="G61" s="11"/>
    </row>
    <row r="62" spans="2:7" ht="15.75">
      <c r="B62" s="59" t="s">
        <v>78</v>
      </c>
      <c r="E62" s="1"/>
      <c r="F62" s="1"/>
      <c r="G62" s="1"/>
    </row>
    <row r="63" spans="5:7" ht="15.75">
      <c r="E63" s="1"/>
      <c r="F63" s="1"/>
      <c r="G63" s="1"/>
    </row>
    <row r="64" spans="5:7" ht="15.75">
      <c r="E64" s="1"/>
      <c r="F64" s="1"/>
      <c r="G64" s="1"/>
    </row>
    <row r="65" spans="5:7" ht="15.75">
      <c r="E65" s="1"/>
      <c r="F65" s="1"/>
      <c r="G65" s="1"/>
    </row>
    <row r="66" spans="5:7" ht="15.75">
      <c r="E66" s="1"/>
      <c r="F66" s="1"/>
      <c r="G66" s="1"/>
    </row>
    <row r="67" spans="5:7" ht="16.5">
      <c r="E67" s="159"/>
      <c r="F67" s="159"/>
      <c r="G67" s="159"/>
    </row>
  </sheetData>
  <sheetProtection/>
  <mergeCells count="13">
    <mergeCell ref="E49:G49"/>
    <mergeCell ref="E50:G50"/>
    <mergeCell ref="E67:G67"/>
    <mergeCell ref="E2:G2"/>
    <mergeCell ref="E6:G6"/>
    <mergeCell ref="D6:D7"/>
    <mergeCell ref="C6:C7"/>
    <mergeCell ref="A4:G4"/>
    <mergeCell ref="E1:G1"/>
    <mergeCell ref="A6:A7"/>
    <mergeCell ref="B6:B7"/>
    <mergeCell ref="F5:G5"/>
    <mergeCell ref="A3:G3"/>
  </mergeCells>
  <printOptions/>
  <pageMargins left="0.43" right="0" top="0.5" bottom="0.25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75" zoomScaleNormal="75" zoomScalePageLayoutView="0" workbookViewId="0" topLeftCell="A37">
      <selection activeCell="F9" sqref="F9"/>
    </sheetView>
  </sheetViews>
  <sheetFormatPr defaultColWidth="9" defaultRowHeight="15"/>
  <cols>
    <col min="1" max="1" width="6.19921875" style="0" customWidth="1"/>
    <col min="2" max="2" width="27.8984375" style="0" customWidth="1"/>
    <col min="3" max="3" width="15" style="0" customWidth="1"/>
    <col min="4" max="4" width="14.796875" style="0" customWidth="1"/>
    <col min="5" max="5" width="12.8984375" style="0" customWidth="1"/>
    <col min="6" max="6" width="14.8984375" style="0" customWidth="1"/>
  </cols>
  <sheetData>
    <row r="1" spans="1:6" ht="21.75" customHeight="1">
      <c r="A1" s="176" t="s">
        <v>154</v>
      </c>
      <c r="B1" s="176"/>
      <c r="C1" s="176"/>
      <c r="D1" s="176"/>
      <c r="E1" s="176"/>
      <c r="F1" s="176"/>
    </row>
    <row r="2" spans="1:6" ht="15.75" customHeight="1">
      <c r="A2" s="105" t="s">
        <v>160</v>
      </c>
      <c r="B2" s="106"/>
      <c r="C2" s="106"/>
      <c r="D2" s="149"/>
      <c r="E2" s="179"/>
      <c r="F2" s="179"/>
    </row>
    <row r="3" spans="1:6" ht="21" customHeight="1">
      <c r="A3" s="107" t="s">
        <v>79</v>
      </c>
      <c r="B3" s="108"/>
      <c r="C3" s="149"/>
      <c r="D3" s="149"/>
      <c r="E3" s="174"/>
      <c r="F3" s="174"/>
    </row>
    <row r="4" spans="1:6" ht="31.5" customHeight="1">
      <c r="A4" s="180" t="s">
        <v>165</v>
      </c>
      <c r="B4" s="180"/>
      <c r="C4" s="180"/>
      <c r="D4" s="180"/>
      <c r="E4" s="180"/>
      <c r="F4" s="180"/>
    </row>
    <row r="5" spans="1:6" ht="15.75" customHeight="1">
      <c r="A5" s="178" t="s">
        <v>166</v>
      </c>
      <c r="B5" s="178"/>
      <c r="C5" s="178"/>
      <c r="D5" s="178"/>
      <c r="E5" s="178"/>
      <c r="F5" s="178"/>
    </row>
    <row r="6" spans="1:6" ht="22.5" customHeight="1">
      <c r="A6" s="20"/>
      <c r="B6" s="1"/>
      <c r="C6" s="20"/>
      <c r="D6" s="20"/>
      <c r="E6" s="20"/>
      <c r="F6" s="138" t="s">
        <v>91</v>
      </c>
    </row>
    <row r="7" spans="1:6" s="20" customFormat="1" ht="63" customHeight="1">
      <c r="A7" s="168" t="s">
        <v>22</v>
      </c>
      <c r="B7" s="168" t="s">
        <v>5</v>
      </c>
      <c r="C7" s="166" t="s">
        <v>13</v>
      </c>
      <c r="D7" s="166" t="s">
        <v>14</v>
      </c>
      <c r="E7" s="168" t="s">
        <v>155</v>
      </c>
      <c r="F7" s="166" t="s">
        <v>158</v>
      </c>
    </row>
    <row r="8" spans="1:6" s="20" customFormat="1" ht="54" customHeight="1">
      <c r="A8" s="177"/>
      <c r="B8" s="177"/>
      <c r="C8" s="175"/>
      <c r="D8" s="175"/>
      <c r="E8" s="177"/>
      <c r="F8" s="175"/>
    </row>
    <row r="9" spans="1:6" s="20" customFormat="1" ht="17.25" customHeight="1">
      <c r="A9" s="140">
        <v>1</v>
      </c>
      <c r="B9" s="140">
        <v>2</v>
      </c>
      <c r="C9" s="139">
        <v>3</v>
      </c>
      <c r="D9" s="139">
        <v>4</v>
      </c>
      <c r="E9" s="140" t="s">
        <v>156</v>
      </c>
      <c r="F9" s="139">
        <v>6</v>
      </c>
    </row>
    <row r="10" spans="1:6" s="20" customFormat="1" ht="38.25" customHeight="1">
      <c r="A10" s="2" t="s">
        <v>1</v>
      </c>
      <c r="B10" s="141" t="s">
        <v>159</v>
      </c>
      <c r="C10" s="51"/>
      <c r="D10" s="51"/>
      <c r="E10" s="2"/>
      <c r="F10" s="51"/>
    </row>
    <row r="11" spans="1:6" s="20" customFormat="1" ht="21" customHeight="1">
      <c r="A11" s="5" t="s">
        <v>2</v>
      </c>
      <c r="B11" s="6" t="s">
        <v>23</v>
      </c>
      <c r="C11" s="52">
        <f>C12+C13</f>
        <v>409975000</v>
      </c>
      <c r="D11" s="128">
        <f>C11</f>
        <v>409975000</v>
      </c>
      <c r="E11" s="53"/>
      <c r="F11" s="6"/>
    </row>
    <row r="12" spans="1:6" s="20" customFormat="1" ht="21" customHeight="1">
      <c r="A12" s="8" t="s">
        <v>32</v>
      </c>
      <c r="B12" s="54" t="s">
        <v>84</v>
      </c>
      <c r="C12" s="55">
        <v>118975000</v>
      </c>
      <c r="D12" s="127">
        <f aca="true" t="shared" si="0" ref="D12:D64">C12</f>
        <v>118975000</v>
      </c>
      <c r="E12" s="53"/>
      <c r="F12" s="53"/>
    </row>
    <row r="13" spans="1:6" s="20" customFormat="1" ht="21" customHeight="1">
      <c r="A13" s="8">
        <v>3</v>
      </c>
      <c r="B13" s="54" t="s">
        <v>46</v>
      </c>
      <c r="C13" s="102">
        <v>291000000</v>
      </c>
      <c r="D13" s="127">
        <f t="shared" si="0"/>
        <v>291000000</v>
      </c>
      <c r="E13" s="53"/>
      <c r="F13" s="53"/>
    </row>
    <row r="14" spans="1:6" s="31" customFormat="1" ht="39" customHeight="1">
      <c r="A14" s="5" t="s">
        <v>3</v>
      </c>
      <c r="B14" s="6" t="s">
        <v>47</v>
      </c>
      <c r="C14" s="74">
        <f>C15+C16</f>
        <v>435358085</v>
      </c>
      <c r="D14" s="128">
        <f t="shared" si="0"/>
        <v>435358085</v>
      </c>
      <c r="E14" s="132"/>
      <c r="F14" s="132"/>
    </row>
    <row r="15" spans="1:6" s="20" customFormat="1" ht="21" customHeight="1">
      <c r="A15" s="8">
        <v>1</v>
      </c>
      <c r="B15" s="54" t="s">
        <v>120</v>
      </c>
      <c r="C15" s="150">
        <v>106275485</v>
      </c>
      <c r="D15" s="127">
        <f t="shared" si="0"/>
        <v>106275485</v>
      </c>
      <c r="E15" s="115"/>
      <c r="F15" s="53"/>
    </row>
    <row r="16" spans="1:6" s="20" customFormat="1" ht="21" customHeight="1">
      <c r="A16" s="8">
        <v>2</v>
      </c>
      <c r="B16" s="54" t="s">
        <v>94</v>
      </c>
      <c r="C16" s="150">
        <v>329082600</v>
      </c>
      <c r="D16" s="127">
        <f t="shared" si="0"/>
        <v>329082600</v>
      </c>
      <c r="E16" s="115"/>
      <c r="F16" s="115"/>
    </row>
    <row r="17" spans="1:6" s="20" customFormat="1" ht="33.75" customHeight="1">
      <c r="A17" s="5" t="s">
        <v>157</v>
      </c>
      <c r="B17" s="57" t="s">
        <v>52</v>
      </c>
      <c r="C17" s="57"/>
      <c r="D17" s="127">
        <f t="shared" si="0"/>
        <v>0</v>
      </c>
      <c r="E17" s="53"/>
      <c r="F17" s="53"/>
    </row>
    <row r="18" spans="1:6" s="20" customFormat="1" ht="21" customHeight="1">
      <c r="A18" s="8">
        <v>1</v>
      </c>
      <c r="B18" s="54" t="s">
        <v>63</v>
      </c>
      <c r="C18" s="54"/>
      <c r="D18" s="127">
        <f t="shared" si="0"/>
        <v>0</v>
      </c>
      <c r="E18" s="53"/>
      <c r="F18" s="53"/>
    </row>
    <row r="19" spans="1:6" s="20" customFormat="1" ht="21" customHeight="1">
      <c r="A19" s="8" t="s">
        <v>32</v>
      </c>
      <c r="B19" s="54" t="s">
        <v>33</v>
      </c>
      <c r="C19" s="54"/>
      <c r="D19" s="127">
        <f t="shared" si="0"/>
        <v>0</v>
      </c>
      <c r="E19" s="53"/>
      <c r="F19" s="53"/>
    </row>
    <row r="20" spans="1:6" s="20" customFormat="1" ht="21" customHeight="1">
      <c r="A20" s="8" t="s">
        <v>34</v>
      </c>
      <c r="B20" s="54" t="s">
        <v>35</v>
      </c>
      <c r="C20" s="54"/>
      <c r="D20" s="127">
        <f t="shared" si="0"/>
        <v>0</v>
      </c>
      <c r="E20" s="53"/>
      <c r="F20" s="53"/>
    </row>
    <row r="21" spans="1:6" s="20" customFormat="1" ht="36.75" customHeight="1">
      <c r="A21" s="8">
        <v>2</v>
      </c>
      <c r="B21" s="54" t="s">
        <v>62</v>
      </c>
      <c r="C21" s="54"/>
      <c r="D21" s="127">
        <f t="shared" si="0"/>
        <v>0</v>
      </c>
      <c r="E21" s="53"/>
      <c r="F21" s="53"/>
    </row>
    <row r="22" spans="1:6" s="20" customFormat="1" ht="21" customHeight="1">
      <c r="A22" s="8"/>
      <c r="B22" s="54" t="s">
        <v>12</v>
      </c>
      <c r="C22" s="54"/>
      <c r="D22" s="127">
        <f t="shared" si="0"/>
        <v>0</v>
      </c>
      <c r="E22" s="53"/>
      <c r="F22" s="53"/>
    </row>
    <row r="23" spans="1:6" s="20" customFormat="1" ht="21" customHeight="1">
      <c r="A23" s="5" t="s">
        <v>4</v>
      </c>
      <c r="B23" s="57" t="s">
        <v>20</v>
      </c>
      <c r="C23" s="57"/>
      <c r="D23" s="127">
        <f t="shared" si="0"/>
        <v>0</v>
      </c>
      <c r="E23" s="53"/>
      <c r="F23" s="53"/>
    </row>
    <row r="24" spans="1:6" s="20" customFormat="1" ht="33.75" customHeight="1">
      <c r="A24" s="5">
        <v>1</v>
      </c>
      <c r="B24" s="6" t="s">
        <v>153</v>
      </c>
      <c r="C24" s="7">
        <f>C25+C52+C60+C55</f>
        <v>4837273500</v>
      </c>
      <c r="D24" s="128">
        <f t="shared" si="0"/>
        <v>4837273500</v>
      </c>
      <c r="E24" s="7"/>
      <c r="F24" s="7"/>
    </row>
    <row r="25" spans="1:6" s="20" customFormat="1" ht="37.5" customHeight="1">
      <c r="A25" s="27" t="s">
        <v>32</v>
      </c>
      <c r="B25" s="28" t="s">
        <v>38</v>
      </c>
      <c r="C25" s="29">
        <f>C26+C32+C42+C44+C48+C46</f>
        <v>4263433000</v>
      </c>
      <c r="D25" s="29">
        <f>D26+D32+D42+D44+D48+D46</f>
        <v>4263433000</v>
      </c>
      <c r="E25" s="29"/>
      <c r="F25" s="29"/>
    </row>
    <row r="26" spans="1:6" s="20" customFormat="1" ht="21" customHeight="1">
      <c r="A26" s="103" t="s">
        <v>40</v>
      </c>
      <c r="B26" s="28" t="s">
        <v>6</v>
      </c>
      <c r="C26" s="29">
        <f>SUM(C27:C31)</f>
        <v>3724460571</v>
      </c>
      <c r="D26" s="129">
        <f t="shared" si="0"/>
        <v>3724460571</v>
      </c>
      <c r="E26" s="131"/>
      <c r="F26" s="130"/>
    </row>
    <row r="27" spans="1:6" s="20" customFormat="1" ht="21" customHeight="1">
      <c r="A27" s="8">
        <v>6000</v>
      </c>
      <c r="B27" s="9" t="s">
        <v>106</v>
      </c>
      <c r="C27" s="151">
        <v>1537572244</v>
      </c>
      <c r="D27" s="127">
        <f t="shared" si="0"/>
        <v>1537572244</v>
      </c>
      <c r="E27" s="130"/>
      <c r="F27" s="53"/>
    </row>
    <row r="28" spans="1:6" s="20" customFormat="1" ht="21.75" customHeight="1">
      <c r="A28" s="8">
        <v>6050</v>
      </c>
      <c r="B28" s="9" t="s">
        <v>113</v>
      </c>
      <c r="C28" s="151">
        <v>611227790</v>
      </c>
      <c r="D28" s="127">
        <f t="shared" si="0"/>
        <v>611227790</v>
      </c>
      <c r="E28" s="130"/>
      <c r="F28" s="53"/>
    </row>
    <row r="29" spans="1:6" s="20" customFormat="1" ht="21.75" customHeight="1">
      <c r="A29" s="8">
        <v>6100</v>
      </c>
      <c r="B29" s="9" t="s">
        <v>107</v>
      </c>
      <c r="C29" s="151">
        <v>871917461</v>
      </c>
      <c r="D29" s="127">
        <f t="shared" si="0"/>
        <v>871917461</v>
      </c>
      <c r="E29" s="130"/>
      <c r="F29" s="53"/>
    </row>
    <row r="30" spans="1:6" s="20" customFormat="1" ht="21.75" customHeight="1">
      <c r="A30" s="8">
        <v>6300</v>
      </c>
      <c r="B30" s="21" t="s">
        <v>108</v>
      </c>
      <c r="C30" s="10">
        <v>584409174</v>
      </c>
      <c r="D30" s="127">
        <f t="shared" si="0"/>
        <v>584409174</v>
      </c>
      <c r="E30" s="130"/>
      <c r="F30" s="53"/>
    </row>
    <row r="31" spans="1:6" s="20" customFormat="1" ht="21.75" customHeight="1">
      <c r="A31" s="8">
        <v>6404</v>
      </c>
      <c r="B31" s="21" t="s">
        <v>114</v>
      </c>
      <c r="C31" s="10">
        <v>119333902</v>
      </c>
      <c r="D31" s="127">
        <f t="shared" si="0"/>
        <v>119333902</v>
      </c>
      <c r="E31" s="130"/>
      <c r="F31" s="53"/>
    </row>
    <row r="32" spans="1:6" s="20" customFormat="1" ht="21" customHeight="1">
      <c r="A32" s="103" t="s">
        <v>40</v>
      </c>
      <c r="B32" s="104" t="s">
        <v>109</v>
      </c>
      <c r="C32" s="29">
        <f>SUM(C33:C41)</f>
        <v>471374929</v>
      </c>
      <c r="D32" s="128">
        <f t="shared" si="0"/>
        <v>471374929</v>
      </c>
      <c r="E32" s="53"/>
      <c r="F32" s="56"/>
    </row>
    <row r="33" spans="1:6" s="20" customFormat="1" ht="21" customHeight="1">
      <c r="A33" s="8">
        <v>6500</v>
      </c>
      <c r="B33" s="21" t="s">
        <v>25</v>
      </c>
      <c r="C33" s="10">
        <v>96619583</v>
      </c>
      <c r="D33" s="127">
        <f t="shared" si="0"/>
        <v>96619583</v>
      </c>
      <c r="E33" s="53"/>
      <c r="F33" s="53"/>
    </row>
    <row r="34" spans="1:6" s="20" customFormat="1" ht="21" customHeight="1">
      <c r="A34" s="8">
        <v>6550</v>
      </c>
      <c r="B34" s="21" t="s">
        <v>110</v>
      </c>
      <c r="C34" s="10">
        <v>110675000</v>
      </c>
      <c r="D34" s="127">
        <f t="shared" si="0"/>
        <v>110675000</v>
      </c>
      <c r="E34" s="53"/>
      <c r="F34" s="130"/>
    </row>
    <row r="35" spans="1:6" s="20" customFormat="1" ht="21" customHeight="1">
      <c r="A35" s="8">
        <v>6600</v>
      </c>
      <c r="B35" s="21" t="s">
        <v>115</v>
      </c>
      <c r="C35" s="10">
        <v>3969746</v>
      </c>
      <c r="D35" s="127">
        <f t="shared" si="0"/>
        <v>3969746</v>
      </c>
      <c r="E35" s="53"/>
      <c r="F35" s="53"/>
    </row>
    <row r="36" spans="1:6" s="20" customFormat="1" ht="21" customHeight="1">
      <c r="A36" s="8">
        <v>6650</v>
      </c>
      <c r="B36" s="21" t="s">
        <v>167</v>
      </c>
      <c r="C36" s="151">
        <v>37687000</v>
      </c>
      <c r="D36" s="127">
        <f t="shared" si="0"/>
        <v>37687000</v>
      </c>
      <c r="E36" s="53"/>
      <c r="F36" s="53"/>
    </row>
    <row r="37" spans="1:6" s="20" customFormat="1" ht="21" customHeight="1">
      <c r="A37" s="8">
        <v>6700</v>
      </c>
      <c r="B37" s="9" t="s">
        <v>111</v>
      </c>
      <c r="C37" s="127">
        <v>25200000</v>
      </c>
      <c r="D37" s="127">
        <f t="shared" si="0"/>
        <v>25200000</v>
      </c>
      <c r="E37" s="53"/>
      <c r="F37" s="53"/>
    </row>
    <row r="38" spans="1:6" s="20" customFormat="1" ht="21" customHeight="1">
      <c r="A38" s="8">
        <v>6750</v>
      </c>
      <c r="B38" s="9" t="s">
        <v>161</v>
      </c>
      <c r="C38" s="151">
        <v>28900000</v>
      </c>
      <c r="D38" s="127">
        <f t="shared" si="0"/>
        <v>28900000</v>
      </c>
      <c r="E38" s="53"/>
      <c r="F38" s="53"/>
    </row>
    <row r="39" spans="1:6" s="20" customFormat="1" ht="21" customHeight="1">
      <c r="A39" s="8">
        <v>6900</v>
      </c>
      <c r="B39" s="9" t="s">
        <v>162</v>
      </c>
      <c r="C39" s="10"/>
      <c r="D39" s="127">
        <f t="shared" si="0"/>
        <v>0</v>
      </c>
      <c r="E39" s="53"/>
      <c r="F39" s="53"/>
    </row>
    <row r="40" spans="1:6" s="20" customFormat="1" ht="24" customHeight="1">
      <c r="A40" s="8">
        <v>6950</v>
      </c>
      <c r="B40" s="9" t="s">
        <v>163</v>
      </c>
      <c r="C40" s="10"/>
      <c r="D40" s="127">
        <f t="shared" si="0"/>
        <v>0</v>
      </c>
      <c r="E40" s="53"/>
      <c r="F40" s="53"/>
    </row>
    <row r="41" spans="1:6" s="20" customFormat="1" ht="24" customHeight="1">
      <c r="A41" s="8">
        <v>7000</v>
      </c>
      <c r="B41" s="9" t="s">
        <v>112</v>
      </c>
      <c r="C41" s="10">
        <v>168323600</v>
      </c>
      <c r="D41" s="127">
        <f t="shared" si="0"/>
        <v>168323600</v>
      </c>
      <c r="E41" s="53"/>
      <c r="F41" s="130"/>
    </row>
    <row r="42" spans="1:6" s="20" customFormat="1" ht="24" customHeight="1">
      <c r="A42" s="103" t="s">
        <v>40</v>
      </c>
      <c r="B42" s="28" t="s">
        <v>8</v>
      </c>
      <c r="C42" s="29">
        <f>C43</f>
        <v>0</v>
      </c>
      <c r="D42" s="128">
        <f t="shared" si="0"/>
        <v>0</v>
      </c>
      <c r="E42" s="53"/>
      <c r="F42" s="131"/>
    </row>
    <row r="43" spans="1:6" s="20" customFormat="1" ht="21" customHeight="1">
      <c r="A43" s="8">
        <v>7050</v>
      </c>
      <c r="B43" s="9" t="s">
        <v>116</v>
      </c>
      <c r="C43" s="10"/>
      <c r="D43" s="127">
        <f t="shared" si="0"/>
        <v>0</v>
      </c>
      <c r="E43" s="53"/>
      <c r="F43" s="130"/>
    </row>
    <row r="44" spans="1:6" s="20" customFormat="1" ht="21" customHeight="1">
      <c r="A44" s="103" t="s">
        <v>40</v>
      </c>
      <c r="B44" s="28" t="s">
        <v>9</v>
      </c>
      <c r="C44" s="29">
        <f>C45</f>
        <v>47197500</v>
      </c>
      <c r="D44" s="128">
        <f t="shared" si="0"/>
        <v>47197500</v>
      </c>
      <c r="E44" s="53"/>
      <c r="F44" s="53"/>
    </row>
    <row r="45" spans="1:6" s="20" customFormat="1" ht="21" customHeight="1">
      <c r="A45" s="8">
        <v>7750</v>
      </c>
      <c r="B45" s="9" t="s">
        <v>9</v>
      </c>
      <c r="C45" s="10">
        <v>47197500</v>
      </c>
      <c r="D45" s="127">
        <f t="shared" si="0"/>
        <v>47197500</v>
      </c>
      <c r="E45" s="53"/>
      <c r="F45" s="53"/>
    </row>
    <row r="46" spans="1:6" s="20" customFormat="1" ht="21" customHeight="1">
      <c r="A46" s="8">
        <v>7950</v>
      </c>
      <c r="B46" s="9" t="s">
        <v>168</v>
      </c>
      <c r="C46" s="10">
        <v>20400000</v>
      </c>
      <c r="D46" s="127">
        <f t="shared" si="0"/>
        <v>20400000</v>
      </c>
      <c r="E46" s="53"/>
      <c r="F46" s="53"/>
    </row>
    <row r="47" spans="1:6" s="20" customFormat="1" ht="21" customHeight="1">
      <c r="A47" s="8"/>
      <c r="B47" s="9"/>
      <c r="C47" s="10"/>
      <c r="D47" s="127"/>
      <c r="E47" s="53"/>
      <c r="F47" s="53"/>
    </row>
    <row r="48" spans="1:6" s="20" customFormat="1" ht="33" customHeight="1">
      <c r="A48" s="27">
        <v>1.2</v>
      </c>
      <c r="B48" s="28" t="s">
        <v>117</v>
      </c>
      <c r="C48" s="142">
        <f>SUM(C49:C51)</f>
        <v>0</v>
      </c>
      <c r="D48" s="128">
        <f t="shared" si="0"/>
        <v>0</v>
      </c>
      <c r="E48" s="131"/>
      <c r="F48" s="53"/>
    </row>
    <row r="49" spans="1:6" s="20" customFormat="1" ht="21" customHeight="1">
      <c r="A49" s="8">
        <v>6000</v>
      </c>
      <c r="B49" s="9" t="s">
        <v>106</v>
      </c>
      <c r="C49" s="152">
        <v>0</v>
      </c>
      <c r="D49" s="127">
        <f t="shared" si="0"/>
        <v>0</v>
      </c>
      <c r="E49" s="130"/>
      <c r="F49" s="53"/>
    </row>
    <row r="50" spans="1:6" s="20" customFormat="1" ht="21" customHeight="1">
      <c r="A50" s="8">
        <v>6100</v>
      </c>
      <c r="B50" s="9" t="s">
        <v>107</v>
      </c>
      <c r="C50" s="10">
        <v>0</v>
      </c>
      <c r="D50" s="127">
        <f t="shared" si="0"/>
        <v>0</v>
      </c>
      <c r="E50" s="130"/>
      <c r="F50" s="53"/>
    </row>
    <row r="51" spans="1:6" s="20" customFormat="1" ht="21" customHeight="1">
      <c r="A51" s="8">
        <v>6300</v>
      </c>
      <c r="B51" s="21" t="s">
        <v>108</v>
      </c>
      <c r="C51" s="10">
        <v>0</v>
      </c>
      <c r="D51" s="127">
        <f t="shared" si="0"/>
        <v>0</v>
      </c>
      <c r="E51" s="130"/>
      <c r="F51" s="53"/>
    </row>
    <row r="52" spans="1:6" s="144" customFormat="1" ht="34.5" customHeight="1">
      <c r="A52" s="27">
        <v>1.3</v>
      </c>
      <c r="B52" s="28" t="s">
        <v>119</v>
      </c>
      <c r="C52" s="29">
        <f>C53+C54</f>
        <v>50000000</v>
      </c>
      <c r="D52" s="29">
        <f>D53+D54</f>
        <v>50000000</v>
      </c>
      <c r="E52" s="53"/>
      <c r="F52" s="53"/>
    </row>
    <row r="53" spans="1:6" s="144" customFormat="1" ht="34.5" customHeight="1">
      <c r="A53" s="8">
        <v>6650</v>
      </c>
      <c r="B53" s="9" t="s">
        <v>167</v>
      </c>
      <c r="C53" s="10">
        <v>36650000</v>
      </c>
      <c r="D53" s="127">
        <f t="shared" si="0"/>
        <v>36650000</v>
      </c>
      <c r="E53" s="53"/>
      <c r="F53" s="53"/>
    </row>
    <row r="54" spans="1:6" s="144" customFormat="1" ht="21" customHeight="1">
      <c r="A54" s="8">
        <v>7000</v>
      </c>
      <c r="B54" s="9" t="s">
        <v>112</v>
      </c>
      <c r="C54" s="10">
        <f>14641500-1291500</f>
        <v>13350000</v>
      </c>
      <c r="D54" s="127">
        <f t="shared" si="0"/>
        <v>13350000</v>
      </c>
      <c r="E54" s="53"/>
      <c r="F54" s="53"/>
    </row>
    <row r="55" spans="1:6" s="144" customFormat="1" ht="32.25" customHeight="1">
      <c r="A55" s="27">
        <v>1.4</v>
      </c>
      <c r="B55" s="28" t="s">
        <v>118</v>
      </c>
      <c r="C55" s="29">
        <f>SUM(C56:C59)</f>
        <v>522549000</v>
      </c>
      <c r="D55" s="128">
        <f t="shared" si="0"/>
        <v>522549000</v>
      </c>
      <c r="E55" s="131"/>
      <c r="F55" s="53"/>
    </row>
    <row r="56" spans="1:6" s="144" customFormat="1" ht="21" customHeight="1">
      <c r="A56" s="8">
        <v>6000</v>
      </c>
      <c r="B56" s="9" t="s">
        <v>106</v>
      </c>
      <c r="C56" s="151">
        <v>360474756</v>
      </c>
      <c r="D56" s="127">
        <f t="shared" si="0"/>
        <v>360474756</v>
      </c>
      <c r="E56" s="130"/>
      <c r="F56" s="53"/>
    </row>
    <row r="57" spans="1:6" s="144" customFormat="1" ht="21" customHeight="1">
      <c r="A57" s="8">
        <v>6050</v>
      </c>
      <c r="B57" s="9" t="s">
        <v>113</v>
      </c>
      <c r="C57" s="10"/>
      <c r="D57" s="127">
        <f t="shared" si="0"/>
        <v>0</v>
      </c>
      <c r="E57" s="130"/>
      <c r="F57" s="53"/>
    </row>
    <row r="58" spans="1:6" s="144" customFormat="1" ht="21" customHeight="1">
      <c r="A58" s="8">
        <v>6100</v>
      </c>
      <c r="B58" s="9" t="s">
        <v>107</v>
      </c>
      <c r="C58" s="10">
        <v>79941585</v>
      </c>
      <c r="D58" s="127">
        <f t="shared" si="0"/>
        <v>79941585</v>
      </c>
      <c r="E58" s="130"/>
      <c r="F58" s="53"/>
    </row>
    <row r="59" spans="1:6" s="144" customFormat="1" ht="21" customHeight="1">
      <c r="A59" s="8">
        <v>6300</v>
      </c>
      <c r="B59" s="9" t="s">
        <v>164</v>
      </c>
      <c r="C59" s="10">
        <v>82132659</v>
      </c>
      <c r="D59" s="127">
        <f t="shared" si="0"/>
        <v>82132659</v>
      </c>
      <c r="E59" s="130"/>
      <c r="F59" s="53"/>
    </row>
    <row r="60" spans="1:6" s="144" customFormat="1" ht="33.75" customHeight="1">
      <c r="A60" s="27">
        <v>1.5</v>
      </c>
      <c r="B60" s="28" t="s">
        <v>169</v>
      </c>
      <c r="C60" s="29">
        <f>C61+C62</f>
        <v>1291500</v>
      </c>
      <c r="D60" s="128">
        <f t="shared" si="0"/>
        <v>1291500</v>
      </c>
      <c r="E60" s="53"/>
      <c r="F60" s="53"/>
    </row>
    <row r="61" spans="1:6" s="144" customFormat="1" ht="27" customHeight="1">
      <c r="A61" s="8">
        <v>6550</v>
      </c>
      <c r="B61" s="9" t="s">
        <v>110</v>
      </c>
      <c r="C61" s="10">
        <v>0</v>
      </c>
      <c r="D61" s="127">
        <f>C61</f>
        <v>0</v>
      </c>
      <c r="E61" s="53"/>
      <c r="F61" s="53"/>
    </row>
    <row r="62" spans="1:6" s="144" customFormat="1" ht="21" customHeight="1">
      <c r="A62" s="8">
        <v>7000</v>
      </c>
      <c r="B62" s="9" t="s">
        <v>112</v>
      </c>
      <c r="C62" s="10">
        <v>1291500</v>
      </c>
      <c r="D62" s="127">
        <f t="shared" si="0"/>
        <v>1291500</v>
      </c>
      <c r="E62" s="53"/>
      <c r="F62" s="53"/>
    </row>
    <row r="63" spans="1:6" s="148" customFormat="1" ht="33" customHeight="1">
      <c r="A63" s="27" t="s">
        <v>34</v>
      </c>
      <c r="B63" s="28" t="s">
        <v>39</v>
      </c>
      <c r="C63" s="29"/>
      <c r="D63" s="127">
        <f t="shared" si="0"/>
        <v>0</v>
      </c>
      <c r="E63" s="58"/>
      <c r="F63" s="58"/>
    </row>
    <row r="64" spans="1:6" s="144" customFormat="1" ht="21" customHeight="1">
      <c r="A64" s="5" t="s">
        <v>40</v>
      </c>
      <c r="B64" s="6" t="s">
        <v>21</v>
      </c>
      <c r="C64" s="7"/>
      <c r="D64" s="127">
        <f t="shared" si="0"/>
        <v>0</v>
      </c>
      <c r="E64" s="53"/>
      <c r="F64" s="53"/>
    </row>
    <row r="65" spans="1:6" s="144" customFormat="1" ht="23.25" customHeight="1">
      <c r="A65" s="145"/>
      <c r="B65" s="146"/>
      <c r="C65" s="147"/>
      <c r="D65" s="143"/>
      <c r="E65" s="143"/>
      <c r="F65" s="143"/>
    </row>
    <row r="67" spans="5:6" ht="23.25" customHeight="1">
      <c r="E67" s="11"/>
      <c r="F67" s="11"/>
    </row>
    <row r="68" spans="5:6" ht="23.25" customHeight="1">
      <c r="E68" s="11"/>
      <c r="F68" s="11"/>
    </row>
    <row r="69" spans="5:6" ht="23.25" customHeight="1">
      <c r="E69" s="11"/>
      <c r="F69" s="11"/>
    </row>
    <row r="70" spans="5:6" ht="23.25" customHeight="1">
      <c r="E70" s="11"/>
      <c r="F70" s="11"/>
    </row>
    <row r="71" spans="5:6" ht="23.25" customHeight="1">
      <c r="E71" s="11"/>
      <c r="F71" s="11"/>
    </row>
    <row r="72" spans="5:6" ht="23.25" customHeight="1">
      <c r="E72" s="11"/>
      <c r="F72" s="11"/>
    </row>
    <row r="73" spans="2:6" ht="23.25" customHeight="1">
      <c r="B73" s="59" t="s">
        <v>78</v>
      </c>
      <c r="E73" s="1"/>
      <c r="F73" s="1"/>
    </row>
    <row r="74" spans="5:6" ht="23.25" customHeight="1">
      <c r="E74" s="1"/>
      <c r="F74" s="1"/>
    </row>
    <row r="75" spans="5:6" ht="15.75">
      <c r="E75" s="1"/>
      <c r="F75" s="1"/>
    </row>
    <row r="76" spans="5:6" ht="15.75">
      <c r="E76" s="1"/>
      <c r="F76" s="1"/>
    </row>
    <row r="77" spans="5:6" ht="15.75">
      <c r="E77" s="1"/>
      <c r="F77" s="1"/>
    </row>
    <row r="78" spans="5:6" ht="15.75" customHeight="1">
      <c r="E78" s="159"/>
      <c r="F78" s="159"/>
    </row>
  </sheetData>
  <sheetProtection/>
  <mergeCells count="12">
    <mergeCell ref="B7:B8"/>
    <mergeCell ref="A4:F4"/>
    <mergeCell ref="E78:F78"/>
    <mergeCell ref="E3:F3"/>
    <mergeCell ref="D7:D8"/>
    <mergeCell ref="A1:F1"/>
    <mergeCell ref="E7:E8"/>
    <mergeCell ref="F7:F8"/>
    <mergeCell ref="C7:C8"/>
    <mergeCell ref="A5:F5"/>
    <mergeCell ref="E2:F2"/>
    <mergeCell ref="A7:A8"/>
  </mergeCells>
  <printOptions/>
  <pageMargins left="0.28" right="0" top="0.5" bottom="0.25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zoomScalePageLayoutView="0" workbookViewId="0" topLeftCell="A1">
      <selection activeCell="A8" sqref="A8:D36"/>
    </sheetView>
  </sheetViews>
  <sheetFormatPr defaultColWidth="8.796875" defaultRowHeight="15"/>
  <cols>
    <col min="1" max="1" width="7.69921875" style="0" customWidth="1"/>
    <col min="2" max="2" width="41.296875" style="0" customWidth="1"/>
    <col min="3" max="3" width="17.8984375" style="0" customWidth="1"/>
    <col min="4" max="4" width="19.69921875" style="0" customWidth="1"/>
    <col min="6" max="6" width="10.09765625" style="0" bestFit="1" customWidth="1"/>
  </cols>
  <sheetData>
    <row r="1" spans="1:4" ht="23.25" customHeight="1">
      <c r="A1" s="19" t="s">
        <v>99</v>
      </c>
      <c r="B1" s="32"/>
      <c r="D1" s="35"/>
    </row>
    <row r="2" spans="1:4" ht="32.25" customHeight="1">
      <c r="A2" s="17" t="s">
        <v>79</v>
      </c>
      <c r="B2" s="38"/>
      <c r="D2" s="26"/>
    </row>
    <row r="3" spans="1:4" ht="41.25" customHeight="1">
      <c r="A3" s="181" t="s">
        <v>127</v>
      </c>
      <c r="B3" s="164"/>
      <c r="C3" s="164"/>
      <c r="D3" s="164"/>
    </row>
    <row r="4" spans="1:4" ht="29.25" customHeight="1">
      <c r="A4" s="1"/>
      <c r="B4" s="1"/>
      <c r="D4" s="25" t="s">
        <v>11</v>
      </c>
    </row>
    <row r="5" spans="1:4" ht="27.75" customHeight="1">
      <c r="A5" s="153" t="s">
        <v>0</v>
      </c>
      <c r="B5" s="153" t="s">
        <v>54</v>
      </c>
      <c r="C5" s="163" t="s">
        <v>92</v>
      </c>
      <c r="D5" s="160" t="s">
        <v>128</v>
      </c>
    </row>
    <row r="6" spans="1:4" ht="33.75" customHeight="1">
      <c r="A6" s="153"/>
      <c r="B6" s="153"/>
      <c r="C6" s="153"/>
      <c r="D6" s="160"/>
    </row>
    <row r="7" spans="1:4" ht="36.75" customHeight="1">
      <c r="A7" s="2" t="s">
        <v>2</v>
      </c>
      <c r="B7" s="3" t="s">
        <v>73</v>
      </c>
      <c r="C7" s="4"/>
      <c r="D7" s="4"/>
    </row>
    <row r="8" spans="1:4" ht="24.75" customHeight="1">
      <c r="A8" s="5" t="s">
        <v>3</v>
      </c>
      <c r="B8" s="6" t="s">
        <v>72</v>
      </c>
      <c r="C8" s="7">
        <f>C9</f>
        <v>6567043370</v>
      </c>
      <c r="D8" s="7">
        <f>D9</f>
        <v>1719966362</v>
      </c>
    </row>
    <row r="9" spans="1:4" ht="24.75" customHeight="1">
      <c r="A9" s="5">
        <v>1</v>
      </c>
      <c r="B9" s="6" t="s">
        <v>37</v>
      </c>
      <c r="C9" s="7">
        <f>C10+C29+C30+C32</f>
        <v>6567043370</v>
      </c>
      <c r="D9" s="7">
        <f>D10+D29+D30+D32</f>
        <v>1719966362</v>
      </c>
    </row>
    <row r="10" spans="1:4" ht="24.75" customHeight="1">
      <c r="A10" s="27" t="s">
        <v>32</v>
      </c>
      <c r="B10" s="28" t="s">
        <v>38</v>
      </c>
      <c r="C10" s="29">
        <f>C11+C18+C27</f>
        <v>6276000000</v>
      </c>
      <c r="D10" s="29">
        <f>D11+D18+D27</f>
        <v>1680630724</v>
      </c>
    </row>
    <row r="11" spans="1:4" ht="24.75" customHeight="1">
      <c r="A11" s="103" t="s">
        <v>40</v>
      </c>
      <c r="B11" s="28" t="s">
        <v>6</v>
      </c>
      <c r="C11" s="29">
        <f>SUM(C12:C17)</f>
        <v>4826000000</v>
      </c>
      <c r="D11" s="29">
        <f>SUM(D12:D17)</f>
        <v>1338929756</v>
      </c>
    </row>
    <row r="12" spans="1:4" ht="24.75" customHeight="1">
      <c r="A12" s="8">
        <v>6000</v>
      </c>
      <c r="B12" s="9" t="s">
        <v>106</v>
      </c>
      <c r="C12" s="10">
        <v>2150760000</v>
      </c>
      <c r="D12" s="75">
        <v>656538699</v>
      </c>
    </row>
    <row r="13" spans="1:4" ht="24.75" customHeight="1">
      <c r="A13" s="8">
        <v>6050</v>
      </c>
      <c r="B13" s="9" t="s">
        <v>113</v>
      </c>
      <c r="C13" s="10">
        <v>784079600</v>
      </c>
      <c r="D13" s="75">
        <v>176349301</v>
      </c>
    </row>
    <row r="14" spans="1:4" ht="24.75" customHeight="1">
      <c r="A14" s="8">
        <v>6100</v>
      </c>
      <c r="B14" s="9" t="s">
        <v>107</v>
      </c>
      <c r="C14" s="10">
        <v>1080648400</v>
      </c>
      <c r="D14" s="75">
        <v>297338182</v>
      </c>
    </row>
    <row r="15" spans="1:4" ht="24.75" customHeight="1">
      <c r="A15" s="8">
        <v>6300</v>
      </c>
      <c r="B15" s="21" t="s">
        <v>108</v>
      </c>
      <c r="C15" s="10">
        <v>806012000</v>
      </c>
      <c r="D15" s="75">
        <v>208703574</v>
      </c>
    </row>
    <row r="16" spans="1:4" ht="24.75" customHeight="1">
      <c r="A16" s="8">
        <v>6250</v>
      </c>
      <c r="B16" s="21" t="s">
        <v>129</v>
      </c>
      <c r="C16" s="10">
        <v>4500000</v>
      </c>
      <c r="D16" s="75"/>
    </row>
    <row r="17" spans="1:4" ht="24.75" customHeight="1">
      <c r="A17" s="8">
        <v>6404</v>
      </c>
      <c r="B17" s="21" t="s">
        <v>114</v>
      </c>
      <c r="C17" s="10"/>
      <c r="D17" s="75"/>
    </row>
    <row r="18" spans="1:4" ht="24.75" customHeight="1">
      <c r="A18" s="103" t="s">
        <v>40</v>
      </c>
      <c r="B18" s="104" t="s">
        <v>109</v>
      </c>
      <c r="C18" s="29">
        <f>SUM(C19:C26)</f>
        <v>1400000000</v>
      </c>
      <c r="D18" s="29">
        <f>SUM(D19:D26)</f>
        <v>293876968</v>
      </c>
    </row>
    <row r="19" spans="1:4" ht="24.75" customHeight="1">
      <c r="A19" s="8">
        <v>6500</v>
      </c>
      <c r="B19" s="21" t="s">
        <v>25</v>
      </c>
      <c r="C19" s="10">
        <v>269000000</v>
      </c>
      <c r="D19" s="75">
        <v>20866791</v>
      </c>
    </row>
    <row r="20" spans="1:4" ht="24.75" customHeight="1">
      <c r="A20" s="8">
        <v>6550</v>
      </c>
      <c r="B20" s="21" t="s">
        <v>110</v>
      </c>
      <c r="C20" s="10">
        <v>162776000</v>
      </c>
      <c r="D20" s="75"/>
    </row>
    <row r="21" spans="1:4" ht="24.75" customHeight="1">
      <c r="A21" s="8">
        <v>6600</v>
      </c>
      <c r="B21" s="21" t="s">
        <v>115</v>
      </c>
      <c r="C21" s="10">
        <v>120620000</v>
      </c>
      <c r="D21" s="75">
        <v>6147577</v>
      </c>
    </row>
    <row r="22" spans="1:4" ht="24.75" customHeight="1">
      <c r="A22" s="8">
        <v>6650</v>
      </c>
      <c r="B22" s="9" t="s">
        <v>86</v>
      </c>
      <c r="C22" s="10">
        <v>28200000</v>
      </c>
      <c r="D22" s="75"/>
    </row>
    <row r="23" spans="1:4" ht="24.75" customHeight="1">
      <c r="A23" s="8">
        <v>6700</v>
      </c>
      <c r="B23" s="9" t="s">
        <v>111</v>
      </c>
      <c r="C23" s="10">
        <v>24000000</v>
      </c>
      <c r="D23" s="75">
        <v>6000000</v>
      </c>
    </row>
    <row r="24" spans="1:4" ht="24.75" customHeight="1">
      <c r="A24" s="8">
        <v>6750</v>
      </c>
      <c r="B24" s="9" t="s">
        <v>26</v>
      </c>
      <c r="C24" s="10">
        <v>123100000</v>
      </c>
      <c r="D24" s="75"/>
    </row>
    <row r="25" spans="1:4" ht="24.75" customHeight="1">
      <c r="A25" s="8">
        <v>6900</v>
      </c>
      <c r="B25" s="9" t="s">
        <v>123</v>
      </c>
      <c r="C25" s="10">
        <v>39300000</v>
      </c>
      <c r="D25" s="75">
        <v>58350000</v>
      </c>
    </row>
    <row r="26" spans="1:4" ht="24.75" customHeight="1">
      <c r="A26" s="8">
        <v>7000</v>
      </c>
      <c r="B26" s="9" t="s">
        <v>112</v>
      </c>
      <c r="C26" s="10">
        <v>633004000</v>
      </c>
      <c r="D26" s="75">
        <v>202512600</v>
      </c>
    </row>
    <row r="27" spans="1:4" ht="24.75" customHeight="1">
      <c r="A27" s="103" t="s">
        <v>40</v>
      </c>
      <c r="B27" s="28" t="s">
        <v>9</v>
      </c>
      <c r="C27" s="29">
        <f>C28</f>
        <v>50000000</v>
      </c>
      <c r="D27" s="29">
        <f>D28</f>
        <v>47824000</v>
      </c>
    </row>
    <row r="28" spans="1:4" ht="24.75" customHeight="1">
      <c r="A28" s="8">
        <v>7750</v>
      </c>
      <c r="B28" s="9" t="s">
        <v>9</v>
      </c>
      <c r="C28" s="10">
        <v>50000000</v>
      </c>
      <c r="D28" s="75">
        <v>47824000</v>
      </c>
    </row>
    <row r="29" spans="1:4" ht="26.25" customHeight="1">
      <c r="A29" s="27">
        <v>1.2</v>
      </c>
      <c r="B29" s="28" t="s">
        <v>117</v>
      </c>
      <c r="C29" s="29">
        <v>145000000</v>
      </c>
      <c r="D29" s="109"/>
    </row>
    <row r="30" spans="1:4" ht="24.75" customHeight="1">
      <c r="A30" s="27">
        <v>1.3</v>
      </c>
      <c r="B30" s="28" t="s">
        <v>130</v>
      </c>
      <c r="C30" s="29">
        <f>C31</f>
        <v>130043370</v>
      </c>
      <c r="D30" s="29">
        <f>D31</f>
        <v>39335638</v>
      </c>
    </row>
    <row r="31" spans="1:4" ht="24.75" customHeight="1">
      <c r="A31" s="8">
        <v>7000</v>
      </c>
      <c r="B31" s="9" t="s">
        <v>112</v>
      </c>
      <c r="C31" s="10">
        <v>130043370</v>
      </c>
      <c r="D31" s="75">
        <v>39335638</v>
      </c>
    </row>
    <row r="32" spans="1:4" ht="24.75" customHeight="1">
      <c r="A32" s="27">
        <v>1.3</v>
      </c>
      <c r="B32" s="28" t="s">
        <v>130</v>
      </c>
      <c r="C32" s="29">
        <f>C33</f>
        <v>16000000</v>
      </c>
      <c r="D32" s="29">
        <f>D34</f>
        <v>0</v>
      </c>
    </row>
    <row r="33" spans="1:4" ht="24.75" customHeight="1">
      <c r="A33" s="8">
        <v>6000</v>
      </c>
      <c r="B33" s="9" t="s">
        <v>106</v>
      </c>
      <c r="C33" s="10">
        <v>16000000</v>
      </c>
      <c r="D33" s="75">
        <v>656538699</v>
      </c>
    </row>
    <row r="34" spans="1:4" s="30" customFormat="1" ht="38.25" customHeight="1">
      <c r="A34" s="27" t="s">
        <v>34</v>
      </c>
      <c r="B34" s="28" t="s">
        <v>39</v>
      </c>
      <c r="C34" s="29">
        <f>C35</f>
        <v>0</v>
      </c>
      <c r="D34" s="29">
        <f>D35</f>
        <v>0</v>
      </c>
    </row>
    <row r="35" spans="1:4" s="64" customFormat="1" ht="24.75" customHeight="1">
      <c r="A35" s="8" t="s">
        <v>40</v>
      </c>
      <c r="B35" s="9" t="s">
        <v>21</v>
      </c>
      <c r="C35" s="10"/>
      <c r="D35" s="10"/>
    </row>
    <row r="36" spans="1:4" ht="24.75" customHeight="1">
      <c r="A36" s="14"/>
      <c r="B36" s="15" t="s">
        <v>71</v>
      </c>
      <c r="C36" s="16"/>
      <c r="D36" s="49"/>
    </row>
    <row r="37" spans="1:4" ht="24.75" customHeight="1">
      <c r="A37" s="22"/>
      <c r="B37" s="23"/>
      <c r="C37" s="24"/>
      <c r="D37" s="60"/>
    </row>
    <row r="38" ht="16.5">
      <c r="C38" s="33" t="s">
        <v>105</v>
      </c>
    </row>
    <row r="39" ht="15.75">
      <c r="C39" s="11" t="s">
        <v>60</v>
      </c>
    </row>
    <row r="40" ht="15.75">
      <c r="C40" s="1"/>
    </row>
    <row r="41" ht="15.75">
      <c r="C41" s="1"/>
    </row>
    <row r="42" ht="15.75">
      <c r="C42" s="1"/>
    </row>
    <row r="43" ht="15.75">
      <c r="C43" s="1"/>
    </row>
    <row r="44" ht="15.75">
      <c r="C44" s="36" t="s">
        <v>100</v>
      </c>
    </row>
    <row r="45" spans="2:4" ht="15.75">
      <c r="B45" s="59" t="s">
        <v>76</v>
      </c>
      <c r="D45" s="1"/>
    </row>
    <row r="46" spans="2:4" ht="23.25" customHeight="1">
      <c r="B46" s="61" t="s">
        <v>75</v>
      </c>
      <c r="D46" s="1"/>
    </row>
    <row r="47" spans="2:4" ht="21.75" customHeight="1">
      <c r="B47" s="61" t="s">
        <v>77</v>
      </c>
      <c r="C47" s="1"/>
      <c r="D47" s="1"/>
    </row>
    <row r="48" ht="15.75">
      <c r="D48" s="1"/>
    </row>
    <row r="49" ht="16.5">
      <c r="D49" s="18"/>
    </row>
    <row r="50" ht="15.75">
      <c r="D50" s="1"/>
    </row>
  </sheetData>
  <sheetProtection/>
  <mergeCells count="5">
    <mergeCell ref="A3:D3"/>
    <mergeCell ref="A5:A6"/>
    <mergeCell ref="B5:B6"/>
    <mergeCell ref="C5:C6"/>
    <mergeCell ref="D5:D6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zoomScalePageLayoutView="0" workbookViewId="0" topLeftCell="A1">
      <selection activeCell="F11" sqref="F11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14.296875" style="0" customWidth="1"/>
    <col min="5" max="5" width="11.09765625" style="0" customWidth="1"/>
    <col min="6" max="6" width="11.3984375" style="0" customWidth="1"/>
    <col min="7" max="7" width="15.69921875" style="101" customWidth="1"/>
    <col min="10" max="10" width="35.296875" style="0" customWidth="1"/>
    <col min="11" max="11" width="21.296875" style="0" customWidth="1"/>
    <col min="12" max="12" width="17.69921875" style="0" customWidth="1"/>
    <col min="14" max="14" width="10.09765625" style="0" bestFit="1" customWidth="1"/>
  </cols>
  <sheetData>
    <row r="1" spans="1:6" ht="23.25" customHeight="1">
      <c r="A1" s="19" t="s">
        <v>99</v>
      </c>
      <c r="B1" s="32"/>
      <c r="D1" s="155" t="s">
        <v>53</v>
      </c>
      <c r="E1" s="155"/>
      <c r="F1" s="155"/>
    </row>
    <row r="2" spans="1:6" ht="32.25" customHeight="1">
      <c r="A2" s="17" t="s">
        <v>79</v>
      </c>
      <c r="B2" s="38"/>
      <c r="D2" s="156" t="s">
        <v>30</v>
      </c>
      <c r="E2" s="156"/>
      <c r="F2" s="156"/>
    </row>
    <row r="3" spans="1:6" ht="22.5" customHeight="1">
      <c r="A3" s="157" t="s">
        <v>131</v>
      </c>
      <c r="B3" s="157"/>
      <c r="C3" s="157"/>
      <c r="D3" s="157"/>
      <c r="E3" s="157"/>
      <c r="F3" s="157"/>
    </row>
    <row r="4" spans="1:6" ht="16.5">
      <c r="A4" s="158" t="s">
        <v>64</v>
      </c>
      <c r="B4" s="158"/>
      <c r="C4" s="158"/>
      <c r="D4" s="158"/>
      <c r="E4" s="158"/>
      <c r="F4" s="158"/>
    </row>
    <row r="5" spans="1:5" ht="29.25" customHeight="1">
      <c r="A5" s="1"/>
      <c r="B5" s="1"/>
      <c r="E5" s="25" t="s">
        <v>11</v>
      </c>
    </row>
    <row r="6" spans="1:7" ht="27.75" customHeight="1">
      <c r="A6" s="153" t="s">
        <v>0</v>
      </c>
      <c r="B6" s="153" t="s">
        <v>54</v>
      </c>
      <c r="C6" s="163" t="s">
        <v>92</v>
      </c>
      <c r="D6" s="160" t="s">
        <v>128</v>
      </c>
      <c r="E6" s="161" t="s">
        <v>55</v>
      </c>
      <c r="F6" s="161"/>
      <c r="G6" s="110"/>
    </row>
    <row r="7" spans="1:11" ht="33.75" customHeight="1">
      <c r="A7" s="153"/>
      <c r="B7" s="153"/>
      <c r="C7" s="153"/>
      <c r="D7" s="160"/>
      <c r="E7" s="12" t="s">
        <v>56</v>
      </c>
      <c r="F7" s="37" t="s">
        <v>57</v>
      </c>
      <c r="G7" s="110"/>
      <c r="K7" s="76" t="e">
        <f>#REF!/#REF!</f>
        <v>#REF!</v>
      </c>
    </row>
    <row r="8" spans="1:11" ht="36.75" customHeight="1">
      <c r="A8" s="2" t="s">
        <v>2</v>
      </c>
      <c r="B8" s="3" t="s">
        <v>73</v>
      </c>
      <c r="C8" s="4"/>
      <c r="D8" s="4"/>
      <c r="E8" s="72"/>
      <c r="F8" s="72"/>
      <c r="J8" t="s">
        <v>23</v>
      </c>
      <c r="K8">
        <v>3592530000</v>
      </c>
    </row>
    <row r="9" spans="1:12" ht="24.75" customHeight="1">
      <c r="A9" s="5" t="s">
        <v>3</v>
      </c>
      <c r="B9" s="6" t="s">
        <v>72</v>
      </c>
      <c r="C9" s="7">
        <f>C10</f>
        <v>6567043370</v>
      </c>
      <c r="D9" s="7">
        <f>D10</f>
        <v>1719966362</v>
      </c>
      <c r="E9" s="70">
        <f>E10</f>
        <v>0.26190878681527574</v>
      </c>
      <c r="F9" s="70">
        <f>F10</f>
        <v>1.16</v>
      </c>
      <c r="J9" t="s">
        <v>62</v>
      </c>
      <c r="L9" t="e">
        <f>#REF!/223000000</f>
        <v>#REF!</v>
      </c>
    </row>
    <row r="10" spans="1:11" ht="24.75" customHeight="1">
      <c r="A10" s="5">
        <v>1</v>
      </c>
      <c r="B10" s="6" t="s">
        <v>37</v>
      </c>
      <c r="C10" s="7">
        <f>C11+C30+C31+C33</f>
        <v>6567043370</v>
      </c>
      <c r="D10" s="7">
        <f>D11+D30+D31+D33</f>
        <v>1719966362</v>
      </c>
      <c r="E10" s="70">
        <f aca="true" t="shared" si="0" ref="E10:E16">D10/C10</f>
        <v>0.26190878681527574</v>
      </c>
      <c r="F10" s="70">
        <v>1.16</v>
      </c>
      <c r="J10" t="s">
        <v>12</v>
      </c>
      <c r="K10">
        <v>2733057100</v>
      </c>
    </row>
    <row r="11" spans="1:12" ht="24.75" customHeight="1">
      <c r="A11" s="27" t="s">
        <v>32</v>
      </c>
      <c r="B11" s="28" t="s">
        <v>38</v>
      </c>
      <c r="C11" s="29">
        <f>C12+C19+C28</f>
        <v>6276000000</v>
      </c>
      <c r="D11" s="29">
        <f>D12+D19+D28</f>
        <v>1680630724</v>
      </c>
      <c r="E11" s="67">
        <f t="shared" si="0"/>
        <v>0.2677869222434672</v>
      </c>
      <c r="F11" s="67">
        <v>0.68</v>
      </c>
      <c r="G11" s="29">
        <f>G12+G19+G27</f>
        <v>6901000000</v>
      </c>
      <c r="H11" s="76">
        <f aca="true" t="shared" si="1" ref="H11:H22">D11/C11</f>
        <v>0.2677869222434672</v>
      </c>
      <c r="J11" t="s">
        <v>63</v>
      </c>
      <c r="K11">
        <v>4665465000</v>
      </c>
      <c r="L11" s="77" t="e">
        <f>K11-#REF!</f>
        <v>#REF!</v>
      </c>
    </row>
    <row r="12" spans="1:10" ht="24.75" customHeight="1">
      <c r="A12" s="103" t="s">
        <v>40</v>
      </c>
      <c r="B12" s="28" t="s">
        <v>6</v>
      </c>
      <c r="C12" s="29">
        <f>SUM(C13:C18)</f>
        <v>4826000000</v>
      </c>
      <c r="D12" s="29">
        <f>SUM(D13:D18)</f>
        <v>1338929756</v>
      </c>
      <c r="E12" s="67">
        <f t="shared" si="0"/>
        <v>0.27744089432242025</v>
      </c>
      <c r="F12" s="112">
        <v>1.22</v>
      </c>
      <c r="G12" s="101">
        <f>G13+G14+G15+G17+G18</f>
        <v>4364955913</v>
      </c>
      <c r="H12" s="76">
        <f t="shared" si="1"/>
        <v>0.27744089432242025</v>
      </c>
      <c r="J12" t="s">
        <v>33</v>
      </c>
    </row>
    <row r="13" spans="1:12" ht="24.75" customHeight="1">
      <c r="A13" s="8">
        <v>6000</v>
      </c>
      <c r="B13" s="9" t="s">
        <v>106</v>
      </c>
      <c r="C13" s="10">
        <v>2150760000</v>
      </c>
      <c r="D13" s="75">
        <v>656538699</v>
      </c>
      <c r="E13" s="67">
        <f t="shared" si="0"/>
        <v>0.30525893126150755</v>
      </c>
      <c r="F13" s="112">
        <v>1.18</v>
      </c>
      <c r="G13" s="101">
        <v>1928680672</v>
      </c>
      <c r="H13" s="76">
        <f t="shared" si="1"/>
        <v>0.30525893126150755</v>
      </c>
      <c r="J13" t="s">
        <v>35</v>
      </c>
      <c r="K13">
        <v>1989486000</v>
      </c>
      <c r="L13" s="77" t="e">
        <f>K13-#REF!</f>
        <v>#REF!</v>
      </c>
    </row>
    <row r="14" spans="1:10" ht="24.75" customHeight="1">
      <c r="A14" s="8">
        <v>6050</v>
      </c>
      <c r="B14" s="9" t="s">
        <v>113</v>
      </c>
      <c r="C14" s="10">
        <v>784079600</v>
      </c>
      <c r="D14" s="75">
        <v>176349301</v>
      </c>
      <c r="E14" s="67">
        <f t="shared" si="0"/>
        <v>0.22491249740460026</v>
      </c>
      <c r="F14" s="112">
        <v>1.07</v>
      </c>
      <c r="G14" s="101">
        <v>680547521</v>
      </c>
      <c r="H14" s="76">
        <f t="shared" si="1"/>
        <v>0.22491249740460026</v>
      </c>
      <c r="J14" t="s">
        <v>62</v>
      </c>
    </row>
    <row r="15" spans="1:11" ht="24.75" customHeight="1">
      <c r="A15" s="8">
        <v>6100</v>
      </c>
      <c r="B15" s="9" t="s">
        <v>107</v>
      </c>
      <c r="C15" s="10">
        <v>1080648400</v>
      </c>
      <c r="D15" s="75">
        <v>297338182</v>
      </c>
      <c r="E15" s="67">
        <f t="shared" si="0"/>
        <v>0.27514794081035054</v>
      </c>
      <c r="F15" s="112">
        <v>1.14</v>
      </c>
      <c r="G15" s="101">
        <v>1003466044</v>
      </c>
      <c r="H15" s="76">
        <f t="shared" si="1"/>
        <v>0.27514794081035054</v>
      </c>
      <c r="J15" t="s">
        <v>12</v>
      </c>
      <c r="K15" s="113">
        <f>D13+D14</f>
        <v>832888000</v>
      </c>
    </row>
    <row r="16" spans="1:8" ht="24.75" customHeight="1">
      <c r="A16" s="8">
        <v>6300</v>
      </c>
      <c r="B16" s="21" t="s">
        <v>108</v>
      </c>
      <c r="C16" s="10">
        <v>806012000</v>
      </c>
      <c r="D16" s="75">
        <v>208703574</v>
      </c>
      <c r="E16" s="67">
        <f t="shared" si="0"/>
        <v>0.25893358163402036</v>
      </c>
      <c r="F16" s="112">
        <v>1.82</v>
      </c>
      <c r="H16" s="76"/>
    </row>
    <row r="17" spans="1:10" ht="24.75" customHeight="1">
      <c r="A17" s="8">
        <v>6250</v>
      </c>
      <c r="B17" s="21" t="s">
        <v>129</v>
      </c>
      <c r="C17" s="10">
        <v>4500000</v>
      </c>
      <c r="D17" s="75"/>
      <c r="E17" s="67"/>
      <c r="F17" s="112"/>
      <c r="G17" s="101">
        <v>670295973</v>
      </c>
      <c r="H17" s="76">
        <f>D17/C17</f>
        <v>0</v>
      </c>
      <c r="J17" t="s">
        <v>12</v>
      </c>
    </row>
    <row r="18" spans="1:10" ht="24.75" customHeight="1">
      <c r="A18" s="8">
        <v>6404</v>
      </c>
      <c r="B18" s="21" t="s">
        <v>114</v>
      </c>
      <c r="C18" s="10"/>
      <c r="D18" s="75"/>
      <c r="E18" s="67"/>
      <c r="F18" s="112"/>
      <c r="G18" s="101">
        <v>81965703</v>
      </c>
      <c r="H18" s="76" t="e">
        <f t="shared" si="1"/>
        <v>#DIV/0!</v>
      </c>
      <c r="J18" t="s">
        <v>20</v>
      </c>
    </row>
    <row r="19" spans="1:10" ht="24.75" customHeight="1">
      <c r="A19" s="103" t="s">
        <v>40</v>
      </c>
      <c r="B19" s="104" t="s">
        <v>109</v>
      </c>
      <c r="C19" s="29">
        <f>SUM(C20:C27)</f>
        <v>1400000000</v>
      </c>
      <c r="D19" s="29">
        <f>SUM(D20:D27)</f>
        <v>293876968</v>
      </c>
      <c r="E19" s="67">
        <f aca="true" t="shared" si="2" ref="E19:E27">D19/C19</f>
        <v>0.20991212</v>
      </c>
      <c r="F19" s="112">
        <v>0.21</v>
      </c>
      <c r="G19" s="101">
        <f>G20+G21+G22+G23+G26+G25</f>
        <v>2536044087</v>
      </c>
      <c r="H19" s="76">
        <f t="shared" si="1"/>
        <v>0.20991212</v>
      </c>
      <c r="J19" t="s">
        <v>37</v>
      </c>
    </row>
    <row r="20" spans="1:11" ht="24.75" customHeight="1">
      <c r="A20" s="8">
        <v>6500</v>
      </c>
      <c r="B20" s="21" t="s">
        <v>25</v>
      </c>
      <c r="C20" s="10">
        <v>269000000</v>
      </c>
      <c r="D20" s="75">
        <v>20866791</v>
      </c>
      <c r="E20" s="67">
        <f>D20/C20</f>
        <v>0.07757171375464685</v>
      </c>
      <c r="F20" s="112">
        <v>1.14</v>
      </c>
      <c r="G20" s="101">
        <v>240733395</v>
      </c>
      <c r="H20" s="76">
        <f t="shared" si="1"/>
        <v>0.07757171375464685</v>
      </c>
      <c r="J20" t="s">
        <v>38</v>
      </c>
      <c r="K20">
        <v>6558440000</v>
      </c>
    </row>
    <row r="21" spans="1:10" ht="24.75" customHeight="1">
      <c r="A21" s="8">
        <v>6550</v>
      </c>
      <c r="B21" s="21" t="s">
        <v>110</v>
      </c>
      <c r="C21" s="10">
        <v>162776000</v>
      </c>
      <c r="D21" s="75"/>
      <c r="E21" s="67">
        <f t="shared" si="2"/>
        <v>0</v>
      </c>
      <c r="F21" s="112"/>
      <c r="G21" s="101">
        <v>374173000</v>
      </c>
      <c r="H21" s="76">
        <f t="shared" si="1"/>
        <v>0</v>
      </c>
      <c r="J21" t="s">
        <v>15</v>
      </c>
    </row>
    <row r="22" spans="1:11" ht="24.75" customHeight="1">
      <c r="A22" s="8">
        <v>6600</v>
      </c>
      <c r="B22" s="21" t="s">
        <v>115</v>
      </c>
      <c r="C22" s="10">
        <v>120620000</v>
      </c>
      <c r="D22" s="75">
        <v>6147577</v>
      </c>
      <c r="E22" s="67">
        <f t="shared" si="2"/>
        <v>0.05096648151218704</v>
      </c>
      <c r="F22" s="112"/>
      <c r="G22" s="101">
        <v>6728992</v>
      </c>
      <c r="H22" s="76">
        <f t="shared" si="1"/>
        <v>0.05096648151218704</v>
      </c>
      <c r="J22" t="s">
        <v>6</v>
      </c>
      <c r="K22">
        <v>4621176495</v>
      </c>
    </row>
    <row r="23" spans="1:8" ht="24.75" customHeight="1">
      <c r="A23" s="8">
        <v>6650</v>
      </c>
      <c r="B23" s="9" t="s">
        <v>86</v>
      </c>
      <c r="C23" s="10">
        <v>28200000</v>
      </c>
      <c r="D23" s="75"/>
      <c r="E23" s="67">
        <f t="shared" si="2"/>
        <v>0</v>
      </c>
      <c r="F23" s="112">
        <f>D23/G23</f>
        <v>0</v>
      </c>
      <c r="G23" s="101">
        <v>16650000</v>
      </c>
      <c r="H23" s="76"/>
    </row>
    <row r="24" spans="1:8" ht="24.75" customHeight="1">
      <c r="A24" s="8">
        <v>6700</v>
      </c>
      <c r="B24" s="9" t="s">
        <v>111</v>
      </c>
      <c r="C24" s="10">
        <v>24000000</v>
      </c>
      <c r="D24" s="75">
        <v>6000000</v>
      </c>
      <c r="E24" s="67">
        <f t="shared" si="2"/>
        <v>0.25</v>
      </c>
      <c r="F24" s="112"/>
      <c r="H24" s="76"/>
    </row>
    <row r="25" spans="1:8" ht="24.75" customHeight="1">
      <c r="A25" s="8">
        <v>6750</v>
      </c>
      <c r="B25" s="9" t="s">
        <v>26</v>
      </c>
      <c r="C25" s="10">
        <v>123100000</v>
      </c>
      <c r="D25" s="75"/>
      <c r="E25" s="67">
        <f t="shared" si="2"/>
        <v>0</v>
      </c>
      <c r="F25" s="67"/>
      <c r="G25" s="101">
        <v>4813000</v>
      </c>
      <c r="H25" s="76"/>
    </row>
    <row r="26" spans="1:11" ht="24.75" customHeight="1">
      <c r="A26" s="8">
        <v>6900</v>
      </c>
      <c r="B26" s="9" t="s">
        <v>123</v>
      </c>
      <c r="C26" s="10">
        <v>39300000</v>
      </c>
      <c r="D26" s="75">
        <v>58350000</v>
      </c>
      <c r="E26" s="67">
        <f t="shared" si="2"/>
        <v>1.484732824427481</v>
      </c>
      <c r="F26" s="112"/>
      <c r="G26" s="101">
        <v>1892945700</v>
      </c>
      <c r="H26" s="76"/>
      <c r="J26" s="77">
        <f>C26/4</f>
        <v>9825000</v>
      </c>
      <c r="K26" s="114">
        <f>D26/J26</f>
        <v>5.938931297709924</v>
      </c>
    </row>
    <row r="27" spans="1:8" ht="24.75" customHeight="1">
      <c r="A27" s="8">
        <v>7000</v>
      </c>
      <c r="B27" s="9" t="s">
        <v>112</v>
      </c>
      <c r="C27" s="10">
        <v>633004000</v>
      </c>
      <c r="D27" s="75">
        <v>202512600</v>
      </c>
      <c r="E27" s="67">
        <f t="shared" si="2"/>
        <v>0.31992309685246856</v>
      </c>
      <c r="F27" s="67">
        <v>0.15</v>
      </c>
      <c r="H27" s="76"/>
    </row>
    <row r="28" spans="1:8" ht="24.75" customHeight="1">
      <c r="A28" s="103" t="s">
        <v>40</v>
      </c>
      <c r="B28" s="28" t="s">
        <v>9</v>
      </c>
      <c r="C28" s="29">
        <f>C29</f>
        <v>50000000</v>
      </c>
      <c r="D28" s="29">
        <f>D29</f>
        <v>47824000</v>
      </c>
      <c r="E28" s="67">
        <f aca="true" t="shared" si="3" ref="E28:E33">D28/C28</f>
        <v>0.95648</v>
      </c>
      <c r="F28" s="67"/>
      <c r="G28" s="101">
        <v>1000000</v>
      </c>
      <c r="H28" s="76"/>
    </row>
    <row r="29" spans="1:8" ht="37.5" customHeight="1">
      <c r="A29" s="8">
        <v>7750</v>
      </c>
      <c r="B29" s="9" t="s">
        <v>9</v>
      </c>
      <c r="C29" s="10">
        <v>50000000</v>
      </c>
      <c r="D29" s="75">
        <v>47824000</v>
      </c>
      <c r="E29" s="67">
        <f t="shared" si="3"/>
        <v>0.95648</v>
      </c>
      <c r="F29" s="67"/>
      <c r="H29" s="76"/>
    </row>
    <row r="30" spans="1:8" ht="33.75" customHeight="1">
      <c r="A30" s="27">
        <v>1.2</v>
      </c>
      <c r="B30" s="28" t="s">
        <v>117</v>
      </c>
      <c r="C30" s="29">
        <v>145000000</v>
      </c>
      <c r="D30" s="109"/>
      <c r="E30" s="67">
        <f t="shared" si="3"/>
        <v>0</v>
      </c>
      <c r="F30" s="67"/>
      <c r="H30" s="76"/>
    </row>
    <row r="31" spans="1:8" ht="24.75" customHeight="1">
      <c r="A31" s="27">
        <v>1.3</v>
      </c>
      <c r="B31" s="28" t="s">
        <v>130</v>
      </c>
      <c r="C31" s="29">
        <f>C32</f>
        <v>130043370</v>
      </c>
      <c r="D31" s="29">
        <f>D32</f>
        <v>39335638</v>
      </c>
      <c r="E31" s="67">
        <f t="shared" si="3"/>
        <v>0.30248091848127284</v>
      </c>
      <c r="F31" s="67"/>
      <c r="H31" s="76"/>
    </row>
    <row r="32" spans="1:10" ht="24.75" customHeight="1">
      <c r="A32" s="8">
        <v>7000</v>
      </c>
      <c r="B32" s="9" t="s">
        <v>112</v>
      </c>
      <c r="C32" s="10">
        <v>130043370</v>
      </c>
      <c r="D32" s="75">
        <v>39335638</v>
      </c>
      <c r="E32" s="67">
        <f t="shared" si="3"/>
        <v>0.30248091848127284</v>
      </c>
      <c r="F32" s="67"/>
      <c r="H32" s="76"/>
      <c r="J32">
        <f>C32/5</f>
        <v>26008674</v>
      </c>
    </row>
    <row r="33" spans="1:11" ht="24.75" customHeight="1">
      <c r="A33" s="27">
        <v>1.3</v>
      </c>
      <c r="B33" s="28" t="s">
        <v>130</v>
      </c>
      <c r="C33" s="29">
        <f>C34</f>
        <v>16000000</v>
      </c>
      <c r="D33" s="29">
        <f>D35</f>
        <v>0</v>
      </c>
      <c r="E33" s="67">
        <f t="shared" si="3"/>
        <v>0</v>
      </c>
      <c r="F33" s="67"/>
      <c r="H33" s="76"/>
      <c r="J33">
        <f>J32*3</f>
        <v>78026022</v>
      </c>
      <c r="K33" s="77">
        <f>C32-J33</f>
        <v>52017348</v>
      </c>
    </row>
    <row r="34" spans="1:11" s="30" customFormat="1" ht="38.25" customHeight="1">
      <c r="A34" s="8">
        <v>6000</v>
      </c>
      <c r="B34" s="9" t="s">
        <v>106</v>
      </c>
      <c r="C34" s="10">
        <v>16000000</v>
      </c>
      <c r="D34" s="75"/>
      <c r="E34" s="69"/>
      <c r="F34" s="29"/>
      <c r="G34" s="111"/>
      <c r="J34" s="30" t="s">
        <v>25</v>
      </c>
      <c r="K34" s="30">
        <v>292453553</v>
      </c>
    </row>
    <row r="35" spans="1:11" s="64" customFormat="1" ht="34.5" customHeight="1">
      <c r="A35" s="27" t="s">
        <v>34</v>
      </c>
      <c r="B35" s="28" t="s">
        <v>39</v>
      </c>
      <c r="C35" s="29">
        <f>C36</f>
        <v>0</v>
      </c>
      <c r="D35" s="29">
        <f>D36</f>
        <v>0</v>
      </c>
      <c r="E35" s="67"/>
      <c r="F35" s="68"/>
      <c r="G35" s="92"/>
      <c r="J35" s="64" t="s">
        <v>81</v>
      </c>
      <c r="K35" s="64">
        <v>95915052</v>
      </c>
    </row>
    <row r="36" spans="1:11" ht="24.75" customHeight="1">
      <c r="A36" s="8" t="s">
        <v>40</v>
      </c>
      <c r="B36" s="9" t="s">
        <v>21</v>
      </c>
      <c r="C36" s="10"/>
      <c r="D36" s="10"/>
      <c r="E36" s="49"/>
      <c r="F36" s="49"/>
      <c r="J36" t="s">
        <v>7</v>
      </c>
      <c r="K36">
        <v>1344142900</v>
      </c>
    </row>
    <row r="37" spans="1:11" ht="24.75" customHeight="1">
      <c r="A37" s="14"/>
      <c r="B37" s="15" t="s">
        <v>71</v>
      </c>
      <c r="C37" s="16"/>
      <c r="D37" s="49"/>
      <c r="E37" s="116"/>
      <c r="F37" s="116"/>
      <c r="J37" t="s">
        <v>8</v>
      </c>
      <c r="K37">
        <v>93040000</v>
      </c>
    </row>
    <row r="38" spans="1:6" ht="19.5" customHeight="1">
      <c r="A38" s="22"/>
      <c r="B38" s="23"/>
      <c r="C38" s="24"/>
      <c r="D38" s="60"/>
      <c r="E38" s="60"/>
      <c r="F38" s="60"/>
    </row>
    <row r="39" spans="4:10" ht="16.5">
      <c r="D39" s="154" t="s">
        <v>105</v>
      </c>
      <c r="E39" s="154"/>
      <c r="F39" s="154"/>
      <c r="J39" t="s">
        <v>9</v>
      </c>
    </row>
    <row r="40" spans="4:6" ht="15.75">
      <c r="D40" s="157" t="s">
        <v>60</v>
      </c>
      <c r="E40" s="157"/>
      <c r="F40" s="157"/>
    </row>
    <row r="41" spans="4:6" ht="15.75">
      <c r="D41" s="1"/>
      <c r="E41" s="1"/>
      <c r="F41" s="1"/>
    </row>
    <row r="42" spans="4:6" ht="15.75">
      <c r="D42" s="1"/>
      <c r="E42" s="1"/>
      <c r="F42" s="1"/>
    </row>
    <row r="43" spans="4:6" ht="15.75">
      <c r="D43" s="1"/>
      <c r="E43" s="1"/>
      <c r="F43" s="1"/>
    </row>
    <row r="44" spans="4:6" ht="15.75">
      <c r="D44" s="1"/>
      <c r="E44" s="1"/>
      <c r="F44" s="1"/>
    </row>
    <row r="45" spans="4:6" ht="15.75">
      <c r="D45" s="162" t="s">
        <v>100</v>
      </c>
      <c r="E45" s="162"/>
      <c r="F45" s="162"/>
    </row>
    <row r="46" spans="2:6" ht="15.75">
      <c r="B46" s="59" t="s">
        <v>76</v>
      </c>
      <c r="D46" s="1"/>
      <c r="E46" s="1"/>
      <c r="F46" s="1"/>
    </row>
    <row r="47" spans="2:6" ht="23.25" customHeight="1">
      <c r="B47" s="61" t="s">
        <v>75</v>
      </c>
      <c r="D47" s="1"/>
      <c r="E47" s="1"/>
      <c r="F47" s="1"/>
    </row>
    <row r="48" spans="2:7" ht="21.75" customHeight="1">
      <c r="B48" s="61" t="s">
        <v>77</v>
      </c>
      <c r="C48" s="1"/>
      <c r="D48" s="1"/>
      <c r="E48" s="1"/>
      <c r="F48" s="1"/>
      <c r="G48" s="110"/>
    </row>
    <row r="49" spans="4:6" ht="15.75">
      <c r="D49" s="1"/>
      <c r="E49" s="1"/>
      <c r="F49" s="1"/>
    </row>
    <row r="50" spans="4:6" ht="16.5">
      <c r="D50" s="159"/>
      <c r="E50" s="159"/>
      <c r="F50" s="159"/>
    </row>
    <row r="51" spans="4:6" ht="15.75">
      <c r="D51" s="1"/>
      <c r="E51" s="1"/>
      <c r="F51" s="1"/>
    </row>
  </sheetData>
  <sheetProtection/>
  <mergeCells count="13">
    <mergeCell ref="D39:F39"/>
    <mergeCell ref="D40:F40"/>
    <mergeCell ref="D45:F45"/>
    <mergeCell ref="D50:F50"/>
    <mergeCell ref="D1:F1"/>
    <mergeCell ref="D2:F2"/>
    <mergeCell ref="A3:F3"/>
    <mergeCell ref="A4:F4"/>
    <mergeCell ref="A6:A7"/>
    <mergeCell ref="B6:B7"/>
    <mergeCell ref="C6:C7"/>
    <mergeCell ref="D6:D7"/>
    <mergeCell ref="E6:F6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zoomScalePageLayoutView="0" workbookViewId="0" topLeftCell="A1">
      <selection activeCell="C31" sqref="C31"/>
    </sheetView>
  </sheetViews>
  <sheetFormatPr defaultColWidth="8.796875" defaultRowHeight="15"/>
  <cols>
    <col min="1" max="1" width="8.19921875" style="0" customWidth="1"/>
    <col min="2" max="2" width="40.19921875" style="0" customWidth="1"/>
    <col min="3" max="3" width="18.8984375" style="0" customWidth="1"/>
    <col min="4" max="4" width="19.8984375" style="0" customWidth="1"/>
  </cols>
  <sheetData>
    <row r="1" spans="1:4" ht="23.25" customHeight="1">
      <c r="A1" s="19" t="s">
        <v>99</v>
      </c>
      <c r="B1" s="32"/>
      <c r="D1" s="35"/>
    </row>
    <row r="2" spans="1:4" ht="32.25" customHeight="1">
      <c r="A2" s="17" t="s">
        <v>79</v>
      </c>
      <c r="B2" s="38"/>
      <c r="D2" s="26"/>
    </row>
    <row r="3" spans="1:4" ht="50.25" customHeight="1">
      <c r="A3" s="181" t="s">
        <v>132</v>
      </c>
      <c r="B3" s="164"/>
      <c r="C3" s="164"/>
      <c r="D3" s="164"/>
    </row>
    <row r="4" spans="1:4" ht="26.25" customHeight="1">
      <c r="A4" s="1"/>
      <c r="B4" s="1"/>
      <c r="D4" s="25" t="s">
        <v>11</v>
      </c>
    </row>
    <row r="5" spans="1:4" ht="27.75" customHeight="1">
      <c r="A5" s="153" t="s">
        <v>0</v>
      </c>
      <c r="B5" s="153" t="s">
        <v>54</v>
      </c>
      <c r="C5" s="163" t="s">
        <v>134</v>
      </c>
      <c r="D5" s="160" t="s">
        <v>133</v>
      </c>
    </row>
    <row r="6" spans="1:4" ht="33.75" customHeight="1">
      <c r="A6" s="153"/>
      <c r="B6" s="153"/>
      <c r="C6" s="153"/>
      <c r="D6" s="160"/>
    </row>
    <row r="7" spans="1:4" ht="36.75" customHeight="1">
      <c r="A7" s="2" t="s">
        <v>2</v>
      </c>
      <c r="B7" s="3" t="s">
        <v>73</v>
      </c>
      <c r="C7" s="4"/>
      <c r="D7" s="4"/>
    </row>
    <row r="8" spans="1:4" ht="24.75" customHeight="1">
      <c r="A8" s="5" t="s">
        <v>3</v>
      </c>
      <c r="B8" s="6" t="s">
        <v>72</v>
      </c>
      <c r="C8" s="7">
        <f>C9</f>
        <v>1682444000</v>
      </c>
      <c r="D8" s="7">
        <f>D9</f>
        <v>1680343717</v>
      </c>
    </row>
    <row r="9" spans="1:4" ht="24.75" customHeight="1">
      <c r="A9" s="5">
        <v>1</v>
      </c>
      <c r="B9" s="6" t="s">
        <v>37</v>
      </c>
      <c r="C9" s="7">
        <f>C10+C29+C30+C32</f>
        <v>1682444000</v>
      </c>
      <c r="D9" s="7">
        <f>D10+D29+D30+D32</f>
        <v>1680343717</v>
      </c>
    </row>
    <row r="10" spans="1:4" ht="24.75" customHeight="1">
      <c r="A10" s="27" t="s">
        <v>32</v>
      </c>
      <c r="B10" s="28" t="s">
        <v>38</v>
      </c>
      <c r="C10" s="29">
        <f>C11+C16+C25+C27</f>
        <v>1612444000</v>
      </c>
      <c r="D10" s="29">
        <f>D11+D16+D25+D27</f>
        <v>1519018489</v>
      </c>
    </row>
    <row r="11" spans="1:4" ht="24.75" customHeight="1">
      <c r="A11" s="103" t="s">
        <v>40</v>
      </c>
      <c r="B11" s="28" t="s">
        <v>6</v>
      </c>
      <c r="C11" s="29">
        <f>SUM(C12:C15)</f>
        <v>1205375000</v>
      </c>
      <c r="D11" s="29">
        <f>SUM(D12:D15)</f>
        <v>1269530081</v>
      </c>
    </row>
    <row r="12" spans="1:4" ht="24.75" customHeight="1">
      <c r="A12" s="8">
        <v>6000</v>
      </c>
      <c r="B12" s="9" t="s">
        <v>106</v>
      </c>
      <c r="C12" s="10">
        <v>733710000</v>
      </c>
      <c r="D12" s="75">
        <f>169417093+617713703+19439289</f>
        <v>806570085</v>
      </c>
    </row>
    <row r="13" spans="1:4" ht="24.75" customHeight="1">
      <c r="A13" s="8">
        <v>6100</v>
      </c>
      <c r="B13" s="9" t="s">
        <v>107</v>
      </c>
      <c r="C13" s="10">
        <v>270162000</v>
      </c>
      <c r="D13" s="75">
        <f>10008000+13017527+243062224+417000+50613497</f>
        <v>317118248</v>
      </c>
    </row>
    <row r="14" spans="1:4" ht="24.75" customHeight="1">
      <c r="A14" s="8">
        <v>6300</v>
      </c>
      <c r="B14" s="21" t="s">
        <v>108</v>
      </c>
      <c r="C14" s="10">
        <v>201503000</v>
      </c>
      <c r="D14" s="75">
        <f>104193460+17861736+17979930+5806622</f>
        <v>145841748</v>
      </c>
    </row>
    <row r="15" spans="1:4" ht="24.75" customHeight="1">
      <c r="A15" s="8">
        <v>6404</v>
      </c>
      <c r="B15" s="21" t="s">
        <v>114</v>
      </c>
      <c r="C15" s="10"/>
      <c r="D15" s="75"/>
    </row>
    <row r="16" spans="1:4" ht="24.75" customHeight="1">
      <c r="A16" s="103" t="s">
        <v>40</v>
      </c>
      <c r="B16" s="104" t="s">
        <v>109</v>
      </c>
      <c r="C16" s="29">
        <f>SUM(C17:C24)</f>
        <v>402069000</v>
      </c>
      <c r="D16" s="29">
        <f>SUM(D17:D24)</f>
        <v>249488408</v>
      </c>
    </row>
    <row r="17" spans="1:4" ht="24.75" customHeight="1">
      <c r="A17" s="8">
        <v>6500</v>
      </c>
      <c r="B17" s="21" t="s">
        <v>25</v>
      </c>
      <c r="C17" s="10">
        <v>67273000</v>
      </c>
      <c r="D17" s="75">
        <f>43834684+1110481+30450000</f>
        <v>75395165</v>
      </c>
    </row>
    <row r="18" spans="1:4" ht="24.75" customHeight="1">
      <c r="A18" s="8">
        <v>6550</v>
      </c>
      <c r="B18" s="21" t="s">
        <v>110</v>
      </c>
      <c r="C18" s="10">
        <v>46000000</v>
      </c>
      <c r="D18" s="75">
        <v>10400000</v>
      </c>
    </row>
    <row r="19" spans="1:4" ht="24.75" customHeight="1">
      <c r="A19" s="8">
        <v>6600</v>
      </c>
      <c r="B19" s="21" t="s">
        <v>115</v>
      </c>
      <c r="C19" s="10">
        <v>47620000</v>
      </c>
      <c r="D19" s="75">
        <f>318143+1403100</f>
        <v>1721243</v>
      </c>
    </row>
    <row r="20" spans="1:4" ht="24.75" customHeight="1">
      <c r="A20" s="8">
        <v>6650</v>
      </c>
      <c r="B20" s="9" t="s">
        <v>86</v>
      </c>
      <c r="C20" s="10">
        <v>6304000</v>
      </c>
      <c r="D20" s="75"/>
    </row>
    <row r="21" spans="1:4" ht="24.75" customHeight="1">
      <c r="A21" s="8">
        <v>6700</v>
      </c>
      <c r="B21" s="9" t="s">
        <v>111</v>
      </c>
      <c r="C21" s="10">
        <v>6000000</v>
      </c>
      <c r="D21" s="75">
        <v>6000000</v>
      </c>
    </row>
    <row r="22" spans="1:4" ht="24.75" customHeight="1">
      <c r="A22" s="8">
        <v>6750</v>
      </c>
      <c r="B22" s="9" t="s">
        <v>135</v>
      </c>
      <c r="C22" s="10">
        <v>30775000</v>
      </c>
      <c r="D22" s="75"/>
    </row>
    <row r="23" spans="1:4" ht="24.75" customHeight="1">
      <c r="A23" s="8">
        <v>6900</v>
      </c>
      <c r="B23" s="9" t="s">
        <v>123</v>
      </c>
      <c r="C23" s="10">
        <v>8543000</v>
      </c>
      <c r="D23" s="75"/>
    </row>
    <row r="24" spans="1:4" ht="24.75" customHeight="1">
      <c r="A24" s="8">
        <v>7000</v>
      </c>
      <c r="B24" s="9" t="s">
        <v>112</v>
      </c>
      <c r="C24" s="10">
        <v>189554000</v>
      </c>
      <c r="D24" s="75">
        <f>152826000+3146000</f>
        <v>155972000</v>
      </c>
    </row>
    <row r="25" spans="1:4" ht="24.75" customHeight="1">
      <c r="A25" s="103" t="s">
        <v>40</v>
      </c>
      <c r="B25" s="28" t="s">
        <v>8</v>
      </c>
      <c r="C25" s="29">
        <f>C26</f>
        <v>0</v>
      </c>
      <c r="D25" s="29">
        <f>D26</f>
        <v>0</v>
      </c>
    </row>
    <row r="26" spans="1:4" ht="24.75" customHeight="1">
      <c r="A26" s="8">
        <v>7050</v>
      </c>
      <c r="B26" s="9" t="s">
        <v>116</v>
      </c>
      <c r="C26" s="10"/>
      <c r="D26" s="75"/>
    </row>
    <row r="27" spans="1:4" ht="24.75" customHeight="1">
      <c r="A27" s="103" t="s">
        <v>40</v>
      </c>
      <c r="B27" s="28" t="s">
        <v>9</v>
      </c>
      <c r="C27" s="29">
        <f>C28</f>
        <v>5000000</v>
      </c>
      <c r="D27" s="29">
        <f>D28</f>
        <v>0</v>
      </c>
    </row>
    <row r="28" spans="1:4" ht="24.75" customHeight="1">
      <c r="A28" s="8">
        <v>7750</v>
      </c>
      <c r="B28" s="9" t="s">
        <v>9</v>
      </c>
      <c r="C28" s="10">
        <v>5000000</v>
      </c>
      <c r="D28" s="75"/>
    </row>
    <row r="29" spans="1:4" ht="37.5" customHeight="1">
      <c r="A29" s="27">
        <v>1.2</v>
      </c>
      <c r="B29" s="28" t="s">
        <v>117</v>
      </c>
      <c r="C29" s="29"/>
      <c r="D29" s="109"/>
    </row>
    <row r="30" spans="1:4" ht="34.5" customHeight="1">
      <c r="A30" s="27">
        <v>1.3</v>
      </c>
      <c r="B30" s="28" t="s">
        <v>119</v>
      </c>
      <c r="C30" s="29">
        <f>C31</f>
        <v>70000000</v>
      </c>
      <c r="D30" s="109">
        <f>D31</f>
        <v>64318826</v>
      </c>
    </row>
    <row r="31" spans="1:4" ht="24.75" customHeight="1">
      <c r="A31" s="8">
        <v>7000</v>
      </c>
      <c r="B31" s="9" t="s">
        <v>112</v>
      </c>
      <c r="C31" s="126">
        <v>70000000</v>
      </c>
      <c r="D31" s="75">
        <v>64318826</v>
      </c>
    </row>
    <row r="32" spans="1:4" ht="24.75" customHeight="1">
      <c r="A32" s="27">
        <v>1.4</v>
      </c>
      <c r="B32" s="28" t="s">
        <v>118</v>
      </c>
      <c r="C32" s="29">
        <f>C36</f>
        <v>0</v>
      </c>
      <c r="D32" s="29">
        <f>SUM(D33:D35)</f>
        <v>97006402</v>
      </c>
    </row>
    <row r="33" spans="1:4" ht="24.75" customHeight="1">
      <c r="A33" s="8">
        <v>6000</v>
      </c>
      <c r="B33" s="9" t="s">
        <v>106</v>
      </c>
      <c r="C33" s="29"/>
      <c r="D33" s="117">
        <f>24796391+5931408+1077111</f>
        <v>31804910</v>
      </c>
    </row>
    <row r="34" spans="1:4" ht="24.75" customHeight="1">
      <c r="A34" s="8">
        <v>6100</v>
      </c>
      <c r="B34" s="9" t="s">
        <v>107</v>
      </c>
      <c r="C34" s="29"/>
      <c r="D34" s="117"/>
    </row>
    <row r="35" spans="1:4" ht="24.75" customHeight="1">
      <c r="A35" s="8">
        <v>6300</v>
      </c>
      <c r="B35" s="21" t="s">
        <v>108</v>
      </c>
      <c r="C35" s="29"/>
      <c r="D35" s="117">
        <f>53130925+9108159+2962408</f>
        <v>65201492</v>
      </c>
    </row>
    <row r="36" spans="1:4" ht="24.75" customHeight="1">
      <c r="A36" s="8"/>
      <c r="B36" s="9"/>
      <c r="C36" s="10"/>
      <c r="D36" s="75"/>
    </row>
    <row r="37" spans="1:4" ht="24.75" customHeight="1">
      <c r="A37" s="22"/>
      <c r="B37" s="23"/>
      <c r="C37" s="24"/>
      <c r="D37" s="60"/>
    </row>
    <row r="38" spans="3:4" ht="16.5">
      <c r="C38" s="154" t="s">
        <v>105</v>
      </c>
      <c r="D38" s="154"/>
    </row>
    <row r="39" spans="3:4" ht="15.75">
      <c r="C39" s="157" t="s">
        <v>60</v>
      </c>
      <c r="D39" s="157"/>
    </row>
    <row r="40" ht="15.75">
      <c r="D40" s="1"/>
    </row>
    <row r="41" ht="15.75">
      <c r="D41" s="1"/>
    </row>
    <row r="42" ht="15.75">
      <c r="D42" s="1"/>
    </row>
    <row r="43" ht="15.75">
      <c r="D43" s="1"/>
    </row>
    <row r="44" spans="3:4" ht="15.75">
      <c r="C44" s="162" t="s">
        <v>100</v>
      </c>
      <c r="D44" s="162"/>
    </row>
    <row r="45" spans="2:4" ht="15.75">
      <c r="B45" s="59" t="s">
        <v>76</v>
      </c>
      <c r="D45" s="1"/>
    </row>
    <row r="46" spans="2:4" ht="23.25" customHeight="1">
      <c r="B46" s="61" t="s">
        <v>75</v>
      </c>
      <c r="D46" s="1"/>
    </row>
    <row r="47" spans="2:4" ht="21.75" customHeight="1">
      <c r="B47" s="61" t="s">
        <v>77</v>
      </c>
      <c r="C47" s="1"/>
      <c r="D47" s="1"/>
    </row>
    <row r="48" ht="15.75">
      <c r="D48" s="1"/>
    </row>
    <row r="49" ht="16.5">
      <c r="D49" s="18"/>
    </row>
    <row r="50" spans="1:12" s="101" customFormat="1" ht="15.75">
      <c r="A50"/>
      <c r="B50"/>
      <c r="C50"/>
      <c r="D50" s="1"/>
      <c r="E50"/>
      <c r="F50"/>
      <c r="G50"/>
      <c r="H50"/>
      <c r="I50"/>
      <c r="J50"/>
      <c r="K50"/>
      <c r="L50"/>
    </row>
  </sheetData>
  <sheetProtection/>
  <mergeCells count="8">
    <mergeCell ref="C38:D38"/>
    <mergeCell ref="C39:D39"/>
    <mergeCell ref="C44:D44"/>
    <mergeCell ref="A3:D3"/>
    <mergeCell ref="A5:A6"/>
    <mergeCell ref="B5:B6"/>
    <mergeCell ref="C5:C6"/>
    <mergeCell ref="D5:D6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zoomScalePageLayoutView="0" workbookViewId="0" topLeftCell="A1">
      <selection activeCell="G25" sqref="G25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14.296875" style="0" customWidth="1"/>
    <col min="5" max="5" width="11.09765625" style="0" customWidth="1"/>
    <col min="6" max="6" width="11.3984375" style="0" customWidth="1"/>
    <col min="7" max="7" width="15.69921875" style="101" customWidth="1"/>
    <col min="10" max="10" width="35.296875" style="0" customWidth="1"/>
    <col min="11" max="11" width="21.296875" style="0" customWidth="1"/>
    <col min="12" max="12" width="17.69921875" style="0" customWidth="1"/>
    <col min="14" max="14" width="10.09765625" style="0" bestFit="1" customWidth="1"/>
  </cols>
  <sheetData>
    <row r="1" spans="1:6" ht="23.25" customHeight="1">
      <c r="A1" s="19" t="s">
        <v>99</v>
      </c>
      <c r="B1" s="32"/>
      <c r="D1" s="155" t="s">
        <v>53</v>
      </c>
      <c r="E1" s="155"/>
      <c r="F1" s="155"/>
    </row>
    <row r="2" spans="1:6" ht="32.25" customHeight="1">
      <c r="A2" s="17" t="s">
        <v>79</v>
      </c>
      <c r="B2" s="38"/>
      <c r="D2" s="156" t="s">
        <v>30</v>
      </c>
      <c r="E2" s="156"/>
      <c r="F2" s="156"/>
    </row>
    <row r="3" spans="1:6" ht="22.5" customHeight="1">
      <c r="A3" s="157" t="s">
        <v>136</v>
      </c>
      <c r="B3" s="157"/>
      <c r="C3" s="157"/>
      <c r="D3" s="157"/>
      <c r="E3" s="157"/>
      <c r="F3" s="157"/>
    </row>
    <row r="4" spans="1:6" ht="16.5">
      <c r="A4" s="158" t="s">
        <v>64</v>
      </c>
      <c r="B4" s="158"/>
      <c r="C4" s="158"/>
      <c r="D4" s="158"/>
      <c r="E4" s="158"/>
      <c r="F4" s="158"/>
    </row>
    <row r="5" spans="1:5" ht="29.25" customHeight="1">
      <c r="A5" s="1"/>
      <c r="B5" s="1"/>
      <c r="E5" s="25" t="s">
        <v>11</v>
      </c>
    </row>
    <row r="6" spans="1:7" ht="27.75" customHeight="1">
      <c r="A6" s="153" t="s">
        <v>0</v>
      </c>
      <c r="B6" s="153" t="s">
        <v>54</v>
      </c>
      <c r="C6" s="163" t="s">
        <v>92</v>
      </c>
      <c r="D6" s="160" t="s">
        <v>137</v>
      </c>
      <c r="E6" s="161" t="s">
        <v>55</v>
      </c>
      <c r="F6" s="161"/>
      <c r="G6" s="110"/>
    </row>
    <row r="7" spans="1:11" ht="33.75" customHeight="1">
      <c r="A7" s="153"/>
      <c r="B7" s="153"/>
      <c r="C7" s="153"/>
      <c r="D7" s="160"/>
      <c r="E7" s="12" t="s">
        <v>56</v>
      </c>
      <c r="F7" s="37" t="s">
        <v>57</v>
      </c>
      <c r="G7" s="110"/>
      <c r="K7" s="76" t="e">
        <f>#REF!/#REF!</f>
        <v>#REF!</v>
      </c>
    </row>
    <row r="8" spans="1:11" ht="36.75" customHeight="1">
      <c r="A8" s="2" t="s">
        <v>2</v>
      </c>
      <c r="B8" s="3" t="s">
        <v>73</v>
      </c>
      <c r="C8" s="4"/>
      <c r="D8" s="4"/>
      <c r="E8" s="72"/>
      <c r="F8" s="72"/>
      <c r="J8" t="s">
        <v>23</v>
      </c>
      <c r="K8">
        <v>3592530000</v>
      </c>
    </row>
    <row r="9" spans="1:12" ht="24.75" customHeight="1">
      <c r="A9" s="5" t="s">
        <v>3</v>
      </c>
      <c r="B9" s="6" t="s">
        <v>72</v>
      </c>
      <c r="C9" s="7">
        <f>C10</f>
        <v>1682444000</v>
      </c>
      <c r="D9" s="7">
        <f>D10</f>
        <v>1680343717</v>
      </c>
      <c r="E9" s="70">
        <f>E10</f>
        <v>0.9987516476031297</v>
      </c>
      <c r="F9" s="70">
        <f>F10</f>
        <v>1.02</v>
      </c>
      <c r="G9" s="101">
        <f>4477837212-D9</f>
        <v>2797493495</v>
      </c>
      <c r="J9" t="s">
        <v>62</v>
      </c>
      <c r="L9" t="e">
        <f>#REF!/223000000</f>
        <v>#REF!</v>
      </c>
    </row>
    <row r="10" spans="1:11" ht="24.75" customHeight="1">
      <c r="A10" s="5">
        <v>1</v>
      </c>
      <c r="B10" s="6" t="s">
        <v>37</v>
      </c>
      <c r="C10" s="7">
        <f>C11+C30+C31+C33</f>
        <v>1682444000</v>
      </c>
      <c r="D10" s="7">
        <f>D11+D30+D31+D33</f>
        <v>1680343717</v>
      </c>
      <c r="E10" s="70">
        <f aca="true" t="shared" si="0" ref="E10:E15">D10/C10</f>
        <v>0.9987516476031297</v>
      </c>
      <c r="F10" s="70">
        <v>1.02</v>
      </c>
      <c r="G10" s="101">
        <v>7019900000</v>
      </c>
      <c r="J10" t="s">
        <v>12</v>
      </c>
      <c r="K10">
        <v>2733057100</v>
      </c>
    </row>
    <row r="11" spans="1:12" ht="24.75" customHeight="1">
      <c r="A11" s="27" t="s">
        <v>32</v>
      </c>
      <c r="B11" s="28" t="s">
        <v>38</v>
      </c>
      <c r="C11" s="29">
        <f>C12+C17+C26+C28</f>
        <v>1612444000</v>
      </c>
      <c r="D11" s="29">
        <f>D12+D17+D26+D28</f>
        <v>1519018489</v>
      </c>
      <c r="E11" s="67">
        <f t="shared" si="0"/>
        <v>0.9420596864139158</v>
      </c>
      <c r="F11" s="67">
        <v>1.03</v>
      </c>
      <c r="G11" s="29">
        <f>G12+G17+G26+G28</f>
        <v>2005620254</v>
      </c>
      <c r="H11" s="76">
        <f aca="true" t="shared" si="1" ref="H11:H21">D11/C11</f>
        <v>0.9420596864139158</v>
      </c>
      <c r="J11" t="s">
        <v>63</v>
      </c>
      <c r="K11">
        <v>4665465000</v>
      </c>
      <c r="L11" s="77" t="e">
        <f>K11-#REF!</f>
        <v>#REF!</v>
      </c>
    </row>
    <row r="12" spans="1:10" ht="24.75" customHeight="1">
      <c r="A12" s="103" t="s">
        <v>40</v>
      </c>
      <c r="B12" s="28" t="s">
        <v>6</v>
      </c>
      <c r="C12" s="29">
        <f>SUM(C13:C16)</f>
        <v>1205375000</v>
      </c>
      <c r="D12" s="29">
        <f>SUM(D13:D16)</f>
        <v>1269530081</v>
      </c>
      <c r="E12" s="67">
        <f t="shared" si="0"/>
        <v>1.0532241675827025</v>
      </c>
      <c r="F12" s="112">
        <v>1.02</v>
      </c>
      <c r="G12" s="101">
        <f>G13+G14+G15+G16</f>
        <v>1300015088</v>
      </c>
      <c r="H12" s="76">
        <f t="shared" si="1"/>
        <v>1.0532241675827025</v>
      </c>
      <c r="J12" t="s">
        <v>33</v>
      </c>
    </row>
    <row r="13" spans="1:12" ht="24.75" customHeight="1">
      <c r="A13" s="8">
        <v>6000</v>
      </c>
      <c r="B13" s="9" t="s">
        <v>106</v>
      </c>
      <c r="C13" s="10">
        <v>733710000</v>
      </c>
      <c r="D13" s="75">
        <f>169417093+617713703+19439289</f>
        <v>806570085</v>
      </c>
      <c r="E13" s="67">
        <f t="shared" si="0"/>
        <v>1.0993036553951834</v>
      </c>
      <c r="F13" s="112">
        <f>D13/G13</f>
        <v>1.0211433340779963</v>
      </c>
      <c r="G13" s="75">
        <f>594901248+157719590+37248770</f>
        <v>789869608</v>
      </c>
      <c r="H13" s="76">
        <f t="shared" si="1"/>
        <v>1.0993036553951834</v>
      </c>
      <c r="J13" t="s">
        <v>35</v>
      </c>
      <c r="K13" s="113">
        <f>D13+'CK DT Quy I-2018'!D13</f>
        <v>1463108784</v>
      </c>
      <c r="L13" s="77" t="e">
        <f>K13-#REF!</f>
        <v>#REF!</v>
      </c>
    </row>
    <row r="14" spans="1:11" ht="24.75" customHeight="1">
      <c r="A14" s="8">
        <v>6100</v>
      </c>
      <c r="B14" s="9" t="s">
        <v>107</v>
      </c>
      <c r="C14" s="10">
        <v>270162000</v>
      </c>
      <c r="D14" s="75">
        <f>10008000+13017527+243062224+417000+50613497</f>
        <v>317118248</v>
      </c>
      <c r="E14" s="67">
        <f t="shared" si="0"/>
        <v>1.17380774498264</v>
      </c>
      <c r="F14" s="112">
        <f>D14/G14</f>
        <v>1.162073176825021</v>
      </c>
      <c r="G14" s="75">
        <f>8450000+223962895+780000+39697190</f>
        <v>272890085</v>
      </c>
      <c r="H14" s="76">
        <f t="shared" si="1"/>
        <v>1.17380774498264</v>
      </c>
      <c r="J14" t="s">
        <v>62</v>
      </c>
      <c r="K14" s="113">
        <f>D14+'CK DT Quy I-2018'!D14</f>
        <v>493467549</v>
      </c>
    </row>
    <row r="15" spans="1:11" ht="24.75" customHeight="1">
      <c r="A15" s="8">
        <v>6300</v>
      </c>
      <c r="B15" s="21" t="s">
        <v>108</v>
      </c>
      <c r="C15" s="10">
        <v>201503000</v>
      </c>
      <c r="D15" s="75">
        <f>104193460+17861736+17979930+5806622</f>
        <v>145841748</v>
      </c>
      <c r="E15" s="67">
        <f t="shared" si="0"/>
        <v>0.7237696113705503</v>
      </c>
      <c r="F15" s="112">
        <f>D15/G15</f>
        <v>0.6147036108493972</v>
      </c>
      <c r="G15" s="75">
        <f>168720598+27266388+32312947+8955462</f>
        <v>237255395</v>
      </c>
      <c r="H15" s="76">
        <f t="shared" si="1"/>
        <v>0.7237696113705503</v>
      </c>
      <c r="J15" t="s">
        <v>12</v>
      </c>
      <c r="K15" s="113">
        <f>D15+'CK DT Quy I-2018'!D15</f>
        <v>443179930</v>
      </c>
    </row>
    <row r="16" spans="1:11" ht="24.75" customHeight="1">
      <c r="A16" s="8">
        <v>6404</v>
      </c>
      <c r="B16" s="21" t="s">
        <v>114</v>
      </c>
      <c r="C16" s="10"/>
      <c r="D16" s="75"/>
      <c r="E16" s="67"/>
      <c r="F16" s="112"/>
      <c r="G16" s="75"/>
      <c r="H16" s="76" t="e">
        <f>D16/C16</f>
        <v>#DIV/0!</v>
      </c>
      <c r="J16" t="s">
        <v>12</v>
      </c>
      <c r="K16" s="113">
        <f>D16+'CK DT Quy I-2018'!D17</f>
        <v>0</v>
      </c>
    </row>
    <row r="17" spans="1:10" ht="24.75" customHeight="1">
      <c r="A17" s="103" t="s">
        <v>40</v>
      </c>
      <c r="B17" s="104" t="s">
        <v>109</v>
      </c>
      <c r="C17" s="29">
        <f>SUM(C18:C25)</f>
        <v>402069000</v>
      </c>
      <c r="D17" s="29">
        <f>SUM(D18:D25)</f>
        <v>249488408</v>
      </c>
      <c r="E17" s="67"/>
      <c r="F17" s="112">
        <v>0</v>
      </c>
      <c r="G17" s="29">
        <f>SUM(G18:G25)</f>
        <v>705605166</v>
      </c>
      <c r="H17" s="76">
        <f t="shared" si="1"/>
        <v>0.620511424655967</v>
      </c>
      <c r="J17" t="s">
        <v>20</v>
      </c>
    </row>
    <row r="18" spans="1:10" ht="24.75" customHeight="1">
      <c r="A18" s="8">
        <v>6500</v>
      </c>
      <c r="B18" s="21" t="s">
        <v>25</v>
      </c>
      <c r="C18" s="10">
        <v>67273000</v>
      </c>
      <c r="D18" s="75">
        <f>43834684+1110481+30450000</f>
        <v>75395165</v>
      </c>
      <c r="E18" s="67">
        <f aca="true" t="shared" si="2" ref="E18:E25">D18/C18</f>
        <v>1.120734395671369</v>
      </c>
      <c r="F18" s="112">
        <f>D18/G18</f>
        <v>3.35577492237715</v>
      </c>
      <c r="G18" s="75">
        <f>21551428+915861</f>
        <v>22467289</v>
      </c>
      <c r="H18" s="76">
        <f t="shared" si="1"/>
        <v>1.120734395671369</v>
      </c>
      <c r="J18" t="s">
        <v>37</v>
      </c>
    </row>
    <row r="19" spans="1:11" ht="24.75" customHeight="1">
      <c r="A19" s="8">
        <v>6550</v>
      </c>
      <c r="B19" s="21" t="s">
        <v>110</v>
      </c>
      <c r="C19" s="10">
        <v>46000000</v>
      </c>
      <c r="D19" s="75">
        <v>10400000</v>
      </c>
      <c r="E19" s="67">
        <f>D19/C19</f>
        <v>0.22608695652173913</v>
      </c>
      <c r="F19" s="112">
        <f>D19/G19</f>
        <v>0.06665000416562526</v>
      </c>
      <c r="G19" s="75">
        <v>156039000</v>
      </c>
      <c r="H19" s="76">
        <f t="shared" si="1"/>
        <v>0.22608695652173913</v>
      </c>
      <c r="J19" t="s">
        <v>38</v>
      </c>
      <c r="K19">
        <v>6558440000</v>
      </c>
    </row>
    <row r="20" spans="1:10" ht="24.75" customHeight="1">
      <c r="A20" s="8">
        <v>6600</v>
      </c>
      <c r="B20" s="21" t="s">
        <v>115</v>
      </c>
      <c r="C20" s="10">
        <v>47620000</v>
      </c>
      <c r="D20" s="75">
        <f>318143+1403100</f>
        <v>1721243</v>
      </c>
      <c r="E20" s="67">
        <f t="shared" si="2"/>
        <v>0.03614538009239815</v>
      </c>
      <c r="F20" s="112">
        <f>D20/G20</f>
        <v>0.6459238427830921</v>
      </c>
      <c r="G20" s="75">
        <f>816777+1848000</f>
        <v>2664777</v>
      </c>
      <c r="H20" s="76">
        <f t="shared" si="1"/>
        <v>0.03614538009239815</v>
      </c>
      <c r="J20" t="s">
        <v>15</v>
      </c>
    </row>
    <row r="21" spans="1:11" ht="24.75" customHeight="1">
      <c r="A21" s="8">
        <v>6650</v>
      </c>
      <c r="B21" s="9" t="s">
        <v>86</v>
      </c>
      <c r="C21" s="10">
        <v>6304000</v>
      </c>
      <c r="D21" s="75"/>
      <c r="E21" s="67"/>
      <c r="F21" s="112"/>
      <c r="G21" s="75"/>
      <c r="H21" s="76">
        <f t="shared" si="1"/>
        <v>0</v>
      </c>
      <c r="J21" t="s">
        <v>6</v>
      </c>
      <c r="K21">
        <v>4621176495</v>
      </c>
    </row>
    <row r="22" spans="1:8" ht="24.75" customHeight="1">
      <c r="A22" s="8">
        <v>6700</v>
      </c>
      <c r="B22" s="9" t="s">
        <v>111</v>
      </c>
      <c r="C22" s="10">
        <v>6000000</v>
      </c>
      <c r="D22" s="75">
        <v>6000000</v>
      </c>
      <c r="E22" s="67">
        <f t="shared" si="2"/>
        <v>1</v>
      </c>
      <c r="F22" s="112">
        <f>D22/G22</f>
        <v>0.5581395348837209</v>
      </c>
      <c r="G22" s="75">
        <v>10750000</v>
      </c>
      <c r="H22" s="76"/>
    </row>
    <row r="23" spans="1:8" ht="24.75" customHeight="1">
      <c r="A23" s="8">
        <v>6750</v>
      </c>
      <c r="B23" s="9" t="s">
        <v>135</v>
      </c>
      <c r="C23" s="10">
        <v>30775000</v>
      </c>
      <c r="D23" s="75"/>
      <c r="E23" s="67"/>
      <c r="F23" s="67"/>
      <c r="G23" s="75"/>
      <c r="H23" s="76"/>
    </row>
    <row r="24" spans="1:10" ht="24.75" customHeight="1">
      <c r="A24" s="8">
        <v>6900</v>
      </c>
      <c r="B24" s="9" t="s">
        <v>123</v>
      </c>
      <c r="C24" s="10">
        <v>8543000</v>
      </c>
      <c r="D24" s="75"/>
      <c r="E24" s="67"/>
      <c r="F24" s="112"/>
      <c r="G24" s="75"/>
      <c r="H24" s="76"/>
      <c r="J24" s="77">
        <f>278000000-C19</f>
        <v>232000000</v>
      </c>
    </row>
    <row r="25" spans="1:8" ht="24.75" customHeight="1">
      <c r="A25" s="8">
        <v>7000</v>
      </c>
      <c r="B25" s="9" t="s">
        <v>112</v>
      </c>
      <c r="C25" s="10">
        <v>189554000</v>
      </c>
      <c r="D25" s="75">
        <f>152826000+3146000</f>
        <v>155972000</v>
      </c>
      <c r="E25" s="67">
        <f t="shared" si="2"/>
        <v>0.8228367641938445</v>
      </c>
      <c r="F25" s="112">
        <f>D25/G25</f>
        <v>0.30363408172454626</v>
      </c>
      <c r="G25" s="75">
        <v>513684100</v>
      </c>
      <c r="H25" s="76"/>
    </row>
    <row r="26" spans="1:8" ht="24.75" customHeight="1">
      <c r="A26" s="103" t="s">
        <v>40</v>
      </c>
      <c r="B26" s="28" t="s">
        <v>8</v>
      </c>
      <c r="C26" s="29">
        <f>C27</f>
        <v>0</v>
      </c>
      <c r="D26" s="29">
        <f>D27</f>
        <v>0</v>
      </c>
      <c r="E26" s="67"/>
      <c r="F26" s="67"/>
      <c r="G26" s="29">
        <f>G27</f>
        <v>0</v>
      </c>
      <c r="H26" s="76"/>
    </row>
    <row r="27" spans="1:8" ht="24.75" customHeight="1">
      <c r="A27" s="8">
        <v>7050</v>
      </c>
      <c r="B27" s="9" t="s">
        <v>116</v>
      </c>
      <c r="C27" s="10"/>
      <c r="D27" s="75"/>
      <c r="E27" s="67"/>
      <c r="F27" s="67"/>
      <c r="G27" s="75"/>
      <c r="H27" s="76"/>
    </row>
    <row r="28" spans="1:8" ht="24.75" customHeight="1">
      <c r="A28" s="103" t="s">
        <v>40</v>
      </c>
      <c r="B28" s="28" t="s">
        <v>9</v>
      </c>
      <c r="C28" s="29">
        <f>C29</f>
        <v>5000000</v>
      </c>
      <c r="D28" s="29">
        <f>D29</f>
        <v>0</v>
      </c>
      <c r="E28" s="67"/>
      <c r="F28" s="67"/>
      <c r="G28" s="109"/>
      <c r="H28" s="76"/>
    </row>
    <row r="29" spans="1:8" ht="37.5" customHeight="1">
      <c r="A29" s="8">
        <v>7750</v>
      </c>
      <c r="B29" s="9" t="s">
        <v>9</v>
      </c>
      <c r="C29" s="10">
        <v>5000000</v>
      </c>
      <c r="D29" s="75"/>
      <c r="E29" s="67"/>
      <c r="F29" s="67"/>
      <c r="G29" s="75"/>
      <c r="H29" s="76"/>
    </row>
    <row r="30" spans="1:8" ht="34.5" customHeight="1">
      <c r="A30" s="27">
        <v>1.2</v>
      </c>
      <c r="B30" s="28" t="s">
        <v>117</v>
      </c>
      <c r="C30" s="29"/>
      <c r="D30" s="109"/>
      <c r="E30" s="67"/>
      <c r="F30" s="67"/>
      <c r="G30" s="75"/>
      <c r="H30" s="76"/>
    </row>
    <row r="31" spans="1:8" ht="35.25" customHeight="1">
      <c r="A31" s="27">
        <v>1.3</v>
      </c>
      <c r="B31" s="28" t="s">
        <v>119</v>
      </c>
      <c r="C31" s="29">
        <f>C32</f>
        <v>70000000</v>
      </c>
      <c r="D31" s="109">
        <f>D32</f>
        <v>64318826</v>
      </c>
      <c r="E31" s="67"/>
      <c r="F31" s="67"/>
      <c r="G31" s="29">
        <f>G33</f>
        <v>0</v>
      </c>
      <c r="H31" s="76"/>
    </row>
    <row r="32" spans="1:8" ht="24.75" customHeight="1">
      <c r="A32" s="8">
        <v>7000</v>
      </c>
      <c r="B32" s="9" t="s">
        <v>112</v>
      </c>
      <c r="C32" s="126">
        <v>70000000</v>
      </c>
      <c r="D32" s="75">
        <v>64318826</v>
      </c>
      <c r="E32" s="67">
        <f>D32/C32</f>
        <v>0.9188403714285714</v>
      </c>
      <c r="F32" s="67"/>
      <c r="G32" s="75"/>
      <c r="H32" s="76"/>
    </row>
    <row r="33" spans="1:8" ht="24.75" customHeight="1">
      <c r="A33" s="27">
        <v>1.4</v>
      </c>
      <c r="B33" s="28" t="s">
        <v>118</v>
      </c>
      <c r="C33" s="29">
        <f>C38</f>
        <v>0</v>
      </c>
      <c r="D33" s="29">
        <f>SUM(D34:D36)</f>
        <v>97006402</v>
      </c>
      <c r="E33" s="67"/>
      <c r="F33" s="67"/>
      <c r="G33" s="92"/>
      <c r="H33" s="76"/>
    </row>
    <row r="34" spans="1:8" ht="24.75" customHeight="1">
      <c r="A34" s="8">
        <v>6000</v>
      </c>
      <c r="B34" s="9" t="s">
        <v>106</v>
      </c>
      <c r="C34" s="29"/>
      <c r="D34" s="117">
        <f>24796391+5931408+1077111</f>
        <v>31804910</v>
      </c>
      <c r="E34" s="67"/>
      <c r="F34" s="67"/>
      <c r="H34" s="76"/>
    </row>
    <row r="35" spans="1:8" ht="24.75" customHeight="1">
      <c r="A35" s="118">
        <v>6100</v>
      </c>
      <c r="B35" s="119" t="s">
        <v>107</v>
      </c>
      <c r="C35" s="120"/>
      <c r="D35" s="121"/>
      <c r="E35" s="122"/>
      <c r="F35" s="122"/>
      <c r="H35" s="76"/>
    </row>
    <row r="36" spans="1:11" ht="24.75" customHeight="1">
      <c r="A36" s="8">
        <v>6300</v>
      </c>
      <c r="B36" s="9" t="s">
        <v>108</v>
      </c>
      <c r="C36" s="29"/>
      <c r="D36" s="117">
        <f>53130925+9108159+2962408</f>
        <v>65201492</v>
      </c>
      <c r="E36" s="67"/>
      <c r="F36" s="67"/>
      <c r="H36" s="76"/>
      <c r="J36" t="s">
        <v>8</v>
      </c>
      <c r="K36">
        <v>93040000</v>
      </c>
    </row>
    <row r="37" spans="1:8" ht="24.75" customHeight="1">
      <c r="A37" s="22"/>
      <c r="B37" s="23"/>
      <c r="C37" s="123"/>
      <c r="D37" s="124"/>
      <c r="E37" s="125"/>
      <c r="F37" s="125"/>
      <c r="H37" s="76"/>
    </row>
    <row r="38" spans="4:10" ht="16.5">
      <c r="D38" s="154" t="s">
        <v>105</v>
      </c>
      <c r="E38" s="154"/>
      <c r="F38" s="154"/>
      <c r="J38" t="s">
        <v>9</v>
      </c>
    </row>
    <row r="39" spans="4:6" ht="15.75">
      <c r="D39" s="157" t="s">
        <v>60</v>
      </c>
      <c r="E39" s="157"/>
      <c r="F39" s="157"/>
    </row>
    <row r="40" spans="4:6" ht="15.75">
      <c r="D40" s="1"/>
      <c r="E40" s="1"/>
      <c r="F40" s="1"/>
    </row>
    <row r="41" spans="4:6" ht="15.75">
      <c r="D41" s="1"/>
      <c r="E41" s="1"/>
      <c r="F41" s="1"/>
    </row>
    <row r="42" spans="4:6" ht="15.75">
      <c r="D42" s="1"/>
      <c r="E42" s="1"/>
      <c r="F42" s="1"/>
    </row>
    <row r="43" spans="4:6" ht="15.75">
      <c r="D43" s="1"/>
      <c r="E43" s="1"/>
      <c r="F43" s="1"/>
    </row>
    <row r="44" spans="4:6" ht="15.75">
      <c r="D44" s="162" t="s">
        <v>100</v>
      </c>
      <c r="E44" s="162"/>
      <c r="F44" s="162"/>
    </row>
    <row r="45" spans="2:6" ht="15.75">
      <c r="B45" s="59" t="s">
        <v>76</v>
      </c>
      <c r="D45" s="1"/>
      <c r="E45" s="1"/>
      <c r="F45" s="1"/>
    </row>
    <row r="46" spans="2:6" ht="23.25" customHeight="1">
      <c r="B46" s="61" t="s">
        <v>75</v>
      </c>
      <c r="D46" s="1"/>
      <c r="E46" s="1"/>
      <c r="F46" s="1"/>
    </row>
    <row r="47" spans="2:7" ht="21.75" customHeight="1">
      <c r="B47" s="61" t="s">
        <v>77</v>
      </c>
      <c r="C47" s="1"/>
      <c r="D47" s="1"/>
      <c r="E47" s="1"/>
      <c r="F47" s="1"/>
      <c r="G47" s="110"/>
    </row>
    <row r="48" spans="4:6" ht="15.75">
      <c r="D48" s="1"/>
      <c r="E48" s="1"/>
      <c r="F48" s="1"/>
    </row>
    <row r="49" spans="4:6" ht="16.5">
      <c r="D49" s="159"/>
      <c r="E49" s="159"/>
      <c r="F49" s="159"/>
    </row>
    <row r="50" spans="4:6" ht="15.75">
      <c r="D50" s="1"/>
      <c r="E50" s="1"/>
      <c r="F50" s="1"/>
    </row>
  </sheetData>
  <sheetProtection/>
  <mergeCells count="13">
    <mergeCell ref="D38:F38"/>
    <mergeCell ref="D39:F39"/>
    <mergeCell ref="D44:F44"/>
    <mergeCell ref="D49:F49"/>
    <mergeCell ref="D1:F1"/>
    <mergeCell ref="D2:F2"/>
    <mergeCell ref="A3:F3"/>
    <mergeCell ref="A4:F4"/>
    <mergeCell ref="A6:A7"/>
    <mergeCell ref="B6:B7"/>
    <mergeCell ref="C6:C7"/>
    <mergeCell ref="D6:D7"/>
    <mergeCell ref="E6:F6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0"/>
  <sheetViews>
    <sheetView zoomScale="75" zoomScaleNormal="75" zoomScalePageLayoutView="0" workbookViewId="0" topLeftCell="A22">
      <selection activeCell="F18" sqref="F18:F25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14.296875" style="0" customWidth="1"/>
    <col min="5" max="5" width="11.09765625" style="0" customWidth="1"/>
    <col min="6" max="6" width="11.3984375" style="0" customWidth="1"/>
    <col min="7" max="7" width="15.69921875" style="101" customWidth="1"/>
    <col min="10" max="10" width="35.296875" style="0" customWidth="1"/>
    <col min="11" max="11" width="21.296875" style="0" customWidth="1"/>
    <col min="12" max="12" width="17.69921875" style="0" customWidth="1"/>
    <col min="13" max="13" width="11.09765625" style="0" bestFit="1" customWidth="1"/>
    <col min="14" max="14" width="10.09765625" style="0" bestFit="1" customWidth="1"/>
  </cols>
  <sheetData>
    <row r="1" spans="1:6" ht="23.25" customHeight="1">
      <c r="A1" s="19" t="s">
        <v>99</v>
      </c>
      <c r="B1" s="32"/>
      <c r="D1" s="155" t="s">
        <v>53</v>
      </c>
      <c r="E1" s="155"/>
      <c r="F1" s="155"/>
    </row>
    <row r="2" spans="1:6" ht="32.25" customHeight="1">
      <c r="A2" s="17" t="s">
        <v>79</v>
      </c>
      <c r="B2" s="38"/>
      <c r="D2" s="156" t="s">
        <v>30</v>
      </c>
      <c r="E2" s="156"/>
      <c r="F2" s="156"/>
    </row>
    <row r="3" spans="1:6" ht="22.5" customHeight="1">
      <c r="A3" s="157" t="s">
        <v>138</v>
      </c>
      <c r="B3" s="157"/>
      <c r="C3" s="157"/>
      <c r="D3" s="157"/>
      <c r="E3" s="157"/>
      <c r="F3" s="157"/>
    </row>
    <row r="4" spans="1:6" ht="16.5">
      <c r="A4" s="158" t="s">
        <v>64</v>
      </c>
      <c r="B4" s="158"/>
      <c r="C4" s="158"/>
      <c r="D4" s="158"/>
      <c r="E4" s="158"/>
      <c r="F4" s="158"/>
    </row>
    <row r="5" spans="1:5" ht="29.25" customHeight="1">
      <c r="A5" s="1"/>
      <c r="B5" s="1"/>
      <c r="E5" s="25" t="s">
        <v>11</v>
      </c>
    </row>
    <row r="6" spans="1:7" ht="27.75" customHeight="1">
      <c r="A6" s="153" t="s">
        <v>0</v>
      </c>
      <c r="B6" s="153" t="s">
        <v>54</v>
      </c>
      <c r="C6" s="163" t="s">
        <v>134</v>
      </c>
      <c r="D6" s="160" t="s">
        <v>139</v>
      </c>
      <c r="E6" s="161" t="s">
        <v>55</v>
      </c>
      <c r="F6" s="161"/>
      <c r="G6" s="110"/>
    </row>
    <row r="7" spans="1:11" ht="33.75" customHeight="1">
      <c r="A7" s="153"/>
      <c r="B7" s="153"/>
      <c r="C7" s="153"/>
      <c r="D7" s="160"/>
      <c r="E7" s="12" t="s">
        <v>56</v>
      </c>
      <c r="F7" s="37" t="s">
        <v>57</v>
      </c>
      <c r="G7" s="110"/>
      <c r="K7" s="76" t="e">
        <f>#REF!/#REF!</f>
        <v>#REF!</v>
      </c>
    </row>
    <row r="8" spans="1:11" ht="36.75" customHeight="1">
      <c r="A8" s="2" t="s">
        <v>2</v>
      </c>
      <c r="B8" s="3" t="s">
        <v>73</v>
      </c>
      <c r="C8" s="4"/>
      <c r="D8" s="4"/>
      <c r="E8" s="72"/>
      <c r="F8" s="72"/>
      <c r="J8" t="s">
        <v>23</v>
      </c>
      <c r="K8">
        <v>3592530000</v>
      </c>
    </row>
    <row r="9" spans="1:13" ht="24.75" customHeight="1">
      <c r="A9" s="5" t="s">
        <v>3</v>
      </c>
      <c r="B9" s="6" t="s">
        <v>72</v>
      </c>
      <c r="C9" s="7">
        <f>C10</f>
        <v>3676228870</v>
      </c>
      <c r="D9" s="7">
        <f>D10</f>
        <v>3400310079</v>
      </c>
      <c r="E9" s="70">
        <f>E10</f>
        <v>0.9249451541900328</v>
      </c>
      <c r="F9" s="70">
        <f>F10</f>
        <v>0.7593643801716657</v>
      </c>
      <c r="G9" s="7">
        <f>G10</f>
        <v>4477837212</v>
      </c>
      <c r="J9" t="s">
        <v>62</v>
      </c>
      <c r="L9" t="e">
        <f>#REF!/223000000</f>
        <v>#REF!</v>
      </c>
      <c r="M9">
        <f>1933179+1612444</f>
        <v>3545623</v>
      </c>
    </row>
    <row r="10" spans="1:11" ht="24.75" customHeight="1">
      <c r="A10" s="5">
        <v>1</v>
      </c>
      <c r="B10" s="6" t="s">
        <v>37</v>
      </c>
      <c r="C10" s="7">
        <f>C11+C30+C31+C33</f>
        <v>3676228870</v>
      </c>
      <c r="D10" s="7">
        <f>D11+D30+D31+D33</f>
        <v>3400310079</v>
      </c>
      <c r="E10" s="70">
        <f aca="true" t="shared" si="0" ref="E10:E15">D10/C10</f>
        <v>0.9249451541900328</v>
      </c>
      <c r="F10" s="70">
        <f>D10/G10</f>
        <v>0.7593643801716657</v>
      </c>
      <c r="G10" s="7">
        <f>G11+G30+G31+G33</f>
        <v>4477837212</v>
      </c>
      <c r="J10" t="s">
        <v>12</v>
      </c>
      <c r="K10">
        <v>2733057100</v>
      </c>
    </row>
    <row r="11" spans="1:13" ht="24.75" customHeight="1">
      <c r="A11" s="27" t="s">
        <v>32</v>
      </c>
      <c r="B11" s="28" t="s">
        <v>38</v>
      </c>
      <c r="C11" s="29">
        <f>C12+C17+C26+C28</f>
        <v>3384623000</v>
      </c>
      <c r="D11" s="29">
        <f>D12+D17+D26+D28</f>
        <v>3199649213</v>
      </c>
      <c r="E11" s="67">
        <f t="shared" si="0"/>
        <v>0.9453487768061613</v>
      </c>
      <c r="F11" s="67">
        <v>1.03</v>
      </c>
      <c r="G11" s="29">
        <f>G12+G17+G26+G28</f>
        <v>4477837212</v>
      </c>
      <c r="H11" s="76">
        <f aca="true" t="shared" si="1" ref="H11:H21">D11/C11</f>
        <v>0.9453487768061613</v>
      </c>
      <c r="J11" t="s">
        <v>63</v>
      </c>
      <c r="K11">
        <v>4665465000</v>
      </c>
      <c r="L11" s="77" t="e">
        <f>K11-#REF!</f>
        <v>#REF!</v>
      </c>
      <c r="M11">
        <f>M9*1000</f>
        <v>3545623000</v>
      </c>
    </row>
    <row r="12" spans="1:13" ht="24.75" customHeight="1">
      <c r="A12" s="103" t="s">
        <v>40</v>
      </c>
      <c r="B12" s="28" t="s">
        <v>6</v>
      </c>
      <c r="C12" s="29">
        <f>SUM(C13:C16)</f>
        <v>2415251000</v>
      </c>
      <c r="D12" s="29">
        <f>SUM(D13:D16)</f>
        <v>2608459837</v>
      </c>
      <c r="E12" s="67">
        <f t="shared" si="0"/>
        <v>1.0799953449972695</v>
      </c>
      <c r="F12" s="112">
        <v>1.02</v>
      </c>
      <c r="G12" s="101">
        <f>G13+G14+G15+G16</f>
        <v>2400124369</v>
      </c>
      <c r="H12" s="76">
        <f t="shared" si="1"/>
        <v>1.0799953449972695</v>
      </c>
      <c r="J12" t="s">
        <v>33</v>
      </c>
      <c r="M12" s="77">
        <f>M11-C9</f>
        <v>-130605870</v>
      </c>
    </row>
    <row r="13" spans="1:12" ht="24.75" customHeight="1">
      <c r="A13" s="8">
        <v>6000</v>
      </c>
      <c r="B13" s="9" t="s">
        <v>106</v>
      </c>
      <c r="C13" s="10">
        <f>733710600+733710000</f>
        <v>1467420600</v>
      </c>
      <c r="D13" s="75">
        <f>1274252402+345766394+19439289</f>
        <v>1639458085</v>
      </c>
      <c r="E13" s="67">
        <f t="shared" si="0"/>
        <v>1.11723801955622</v>
      </c>
      <c r="F13" s="112">
        <f>D13/G13</f>
        <v>1.0833390799569727</v>
      </c>
      <c r="G13" s="75">
        <f>1153183152+304757975+55396770</f>
        <v>1513337897</v>
      </c>
      <c r="H13" s="76">
        <f t="shared" si="1"/>
        <v>1.11723801955622</v>
      </c>
      <c r="J13" t="s">
        <v>35</v>
      </c>
      <c r="K13" s="113">
        <f>D13+'CK DT Quy I-2018'!D13</f>
        <v>2295996784</v>
      </c>
      <c r="L13" s="77" t="e">
        <f>K13-#REF!</f>
        <v>#REF!</v>
      </c>
    </row>
    <row r="14" spans="1:11" ht="24.75" customHeight="1">
      <c r="A14" s="8">
        <v>6100</v>
      </c>
      <c r="B14" s="9" t="s">
        <v>107</v>
      </c>
      <c r="C14" s="10">
        <f>270162000+270162400</f>
        <v>540324400</v>
      </c>
      <c r="D14" s="75">
        <f>20016000+13017527+483830948+834000+96757955</f>
        <v>614456430</v>
      </c>
      <c r="E14" s="67">
        <f t="shared" si="0"/>
        <v>1.137199115938499</v>
      </c>
      <c r="F14" s="112">
        <f>D14/G14</f>
        <v>1.1489264674879267</v>
      </c>
      <c r="G14" s="75">
        <f>16445000+437554240+1560000+79249947</f>
        <v>534809187</v>
      </c>
      <c r="H14" s="76">
        <f t="shared" si="1"/>
        <v>1.137199115938499</v>
      </c>
      <c r="J14" t="s">
        <v>62</v>
      </c>
      <c r="K14" s="113">
        <f>D14+'CK DT Quy I-2018'!D14</f>
        <v>790805731</v>
      </c>
    </row>
    <row r="15" spans="1:11" ht="24.75" customHeight="1">
      <c r="A15" s="8">
        <v>6300</v>
      </c>
      <c r="B15" s="21" t="s">
        <v>108</v>
      </c>
      <c r="C15" s="10">
        <f>201503000*2</f>
        <v>403006000</v>
      </c>
      <c r="D15" s="75">
        <f>259775541+44532950+35760739+14476092</f>
        <v>354545322</v>
      </c>
      <c r="E15" s="67">
        <f t="shared" si="0"/>
        <v>0.8797519689533159</v>
      </c>
      <c r="F15" s="112">
        <f>D15/G15</f>
        <v>1.0072960304810579</v>
      </c>
      <c r="G15" s="75">
        <f>262098882+43274093+32312947+14291363</f>
        <v>351977285</v>
      </c>
      <c r="H15" s="76">
        <f t="shared" si="1"/>
        <v>0.8797519689533159</v>
      </c>
      <c r="J15" t="s">
        <v>12</v>
      </c>
      <c r="K15" s="113">
        <f>D15+'CK DT Quy I-2018'!D15</f>
        <v>651883504</v>
      </c>
    </row>
    <row r="16" spans="1:11" ht="24.75" customHeight="1">
      <c r="A16" s="8">
        <v>6404</v>
      </c>
      <c r="B16" s="21" t="s">
        <v>114</v>
      </c>
      <c r="C16" s="10">
        <v>4500000</v>
      </c>
      <c r="D16" s="75"/>
      <c r="E16" s="67"/>
      <c r="F16" s="112"/>
      <c r="G16" s="75"/>
      <c r="H16" s="76">
        <f>D16/C16</f>
        <v>0</v>
      </c>
      <c r="J16" t="s">
        <v>12</v>
      </c>
      <c r="K16" s="113">
        <f>D16+'CK DT Quy I-2018'!D17</f>
        <v>0</v>
      </c>
    </row>
    <row r="17" spans="1:10" ht="24.75" customHeight="1">
      <c r="A17" s="103" t="s">
        <v>40</v>
      </c>
      <c r="B17" s="104" t="s">
        <v>109</v>
      </c>
      <c r="C17" s="29">
        <f>SUM(C18:C25)</f>
        <v>954372000</v>
      </c>
      <c r="D17" s="29">
        <f>SUM(D18:D25)</f>
        <v>543365376</v>
      </c>
      <c r="E17" s="70">
        <f>D17/C17</f>
        <v>0.569343375539098</v>
      </c>
      <c r="F17" s="70">
        <f>D17/G17</f>
        <v>0.2615209208676966</v>
      </c>
      <c r="G17" s="29">
        <f>SUM(G18:G25)</f>
        <v>2077712843</v>
      </c>
      <c r="H17" s="76">
        <f t="shared" si="1"/>
        <v>0.569343375539098</v>
      </c>
      <c r="J17" t="s">
        <v>20</v>
      </c>
    </row>
    <row r="18" spans="1:10" ht="24.75" customHeight="1">
      <c r="A18" s="8">
        <v>6500</v>
      </c>
      <c r="B18" s="21" t="s">
        <v>25</v>
      </c>
      <c r="C18" s="10">
        <f>67273000+94182000</f>
        <v>161455000</v>
      </c>
      <c r="D18" s="75">
        <f>64346578+1465378+30450000</f>
        <v>96261956</v>
      </c>
      <c r="E18" s="67">
        <f aca="true" t="shared" si="2" ref="E18:E27">D18/C18</f>
        <v>0.5962153912854975</v>
      </c>
      <c r="F18" s="112">
        <f>D18/G18</f>
        <v>2.3650958066691152</v>
      </c>
      <c r="G18" s="75">
        <f>38835014+1866067</f>
        <v>40701081</v>
      </c>
      <c r="H18" s="76">
        <f t="shared" si="1"/>
        <v>0.5962153912854975</v>
      </c>
      <c r="J18" t="s">
        <v>37</v>
      </c>
    </row>
    <row r="19" spans="1:11" ht="24.75" customHeight="1">
      <c r="A19" s="8">
        <v>6550</v>
      </c>
      <c r="B19" s="21" t="s">
        <v>110</v>
      </c>
      <c r="C19" s="10">
        <f>46000000+61650000</f>
        <v>107650000</v>
      </c>
      <c r="D19" s="75">
        <v>10400000</v>
      </c>
      <c r="E19" s="67">
        <f>D19/C19</f>
        <v>0.09660938225731537</v>
      </c>
      <c r="F19" s="112">
        <f>D19/G19</f>
        <v>0.06665000416562526</v>
      </c>
      <c r="G19" s="75">
        <f>156039000</f>
        <v>156039000</v>
      </c>
      <c r="H19" s="76">
        <f t="shared" si="1"/>
        <v>0.09660938225731537</v>
      </c>
      <c r="J19" t="s">
        <v>38</v>
      </c>
      <c r="K19">
        <v>6558440000</v>
      </c>
    </row>
    <row r="20" spans="1:10" ht="24.75" customHeight="1">
      <c r="A20" s="8">
        <v>6600</v>
      </c>
      <c r="B20" s="21" t="s">
        <v>115</v>
      </c>
      <c r="C20" s="10">
        <f>47620000+50000000</f>
        <v>97620000</v>
      </c>
      <c r="D20" s="75">
        <f>707020+2806200+4355600</f>
        <v>7868820</v>
      </c>
      <c r="E20" s="67">
        <f t="shared" si="2"/>
        <v>0.08060663798401967</v>
      </c>
      <c r="F20" s="112">
        <f>D20/G20</f>
        <v>2.0179245239471495</v>
      </c>
      <c r="G20" s="75">
        <f>1312262+2587200</f>
        <v>3899462</v>
      </c>
      <c r="H20" s="76">
        <f t="shared" si="1"/>
        <v>0.08060663798401967</v>
      </c>
      <c r="J20" t="s">
        <v>15</v>
      </c>
    </row>
    <row r="21" spans="1:11" ht="24.75" customHeight="1">
      <c r="A21" s="8">
        <v>6650</v>
      </c>
      <c r="B21" s="9" t="s">
        <v>86</v>
      </c>
      <c r="C21" s="10">
        <f>6304000+10609000</f>
        <v>16913000</v>
      </c>
      <c r="D21" s="75"/>
      <c r="E21" s="67"/>
      <c r="F21" s="112"/>
      <c r="G21" s="75"/>
      <c r="H21" s="76">
        <f t="shared" si="1"/>
        <v>0</v>
      </c>
      <c r="J21" t="s">
        <v>6</v>
      </c>
      <c r="K21">
        <v>4621176495</v>
      </c>
    </row>
    <row r="22" spans="1:8" ht="24.75" customHeight="1">
      <c r="A22" s="8">
        <v>6700</v>
      </c>
      <c r="B22" s="9" t="s">
        <v>111</v>
      </c>
      <c r="C22" s="10">
        <v>14000000</v>
      </c>
      <c r="D22" s="75">
        <v>12000000</v>
      </c>
      <c r="E22" s="67">
        <f t="shared" si="2"/>
        <v>0.8571428571428571</v>
      </c>
      <c r="F22" s="112">
        <f>D22/G22</f>
        <v>1.1162790697674418</v>
      </c>
      <c r="G22" s="75">
        <v>10750000</v>
      </c>
      <c r="H22" s="76"/>
    </row>
    <row r="23" spans="1:8" ht="24.75" customHeight="1">
      <c r="A23" s="8">
        <v>6750</v>
      </c>
      <c r="B23" s="9" t="s">
        <v>135</v>
      </c>
      <c r="C23" s="10">
        <f>30775000*2</f>
        <v>61550000</v>
      </c>
      <c r="D23" s="75"/>
      <c r="E23" s="67"/>
      <c r="F23" s="67"/>
      <c r="G23" s="75"/>
      <c r="H23" s="76"/>
    </row>
    <row r="24" spans="1:10" ht="24.75" customHeight="1">
      <c r="A24" s="8">
        <v>6900</v>
      </c>
      <c r="B24" s="9" t="s">
        <v>123</v>
      </c>
      <c r="C24" s="10">
        <f>8543000+17087000</f>
        <v>25630000</v>
      </c>
      <c r="D24" s="75">
        <v>58350000</v>
      </c>
      <c r="E24" s="67"/>
      <c r="F24" s="112"/>
      <c r="G24" s="75"/>
      <c r="H24" s="76"/>
      <c r="J24" s="77">
        <f>278000000-C19</f>
        <v>170350000</v>
      </c>
    </row>
    <row r="25" spans="1:8" ht="24.75" customHeight="1">
      <c r="A25" s="8">
        <v>7000</v>
      </c>
      <c r="B25" s="9" t="s">
        <v>112</v>
      </c>
      <c r="C25" s="10">
        <f>280000000+189554000</f>
        <v>469554000</v>
      </c>
      <c r="D25" s="75">
        <f>303951000+54533600</f>
        <v>358484600</v>
      </c>
      <c r="E25" s="67">
        <f t="shared" si="2"/>
        <v>0.7634576640812345</v>
      </c>
      <c r="F25" s="112">
        <f>D25/G25</f>
        <v>0.1920806539788685</v>
      </c>
      <c r="G25" s="75">
        <v>1866323300</v>
      </c>
      <c r="H25" s="76"/>
    </row>
    <row r="26" spans="1:8" ht="24.75" customHeight="1">
      <c r="A26" s="103" t="s">
        <v>40</v>
      </c>
      <c r="B26" s="28" t="s">
        <v>8</v>
      </c>
      <c r="C26" s="29">
        <f>C27</f>
        <v>15000000</v>
      </c>
      <c r="D26" s="29">
        <f>D27</f>
        <v>374000</v>
      </c>
      <c r="E26" s="67"/>
      <c r="F26" s="67"/>
      <c r="G26" s="29">
        <f>G27</f>
        <v>0</v>
      </c>
      <c r="H26" s="76"/>
    </row>
    <row r="27" spans="1:8" ht="24.75" customHeight="1">
      <c r="A27" s="8">
        <v>7050</v>
      </c>
      <c r="B27" s="9" t="s">
        <v>116</v>
      </c>
      <c r="C27" s="10">
        <v>15000000</v>
      </c>
      <c r="D27" s="75">
        <v>374000</v>
      </c>
      <c r="E27" s="67">
        <f t="shared" si="2"/>
        <v>0.02493333333333333</v>
      </c>
      <c r="F27" s="67"/>
      <c r="G27" s="75"/>
      <c r="H27" s="76"/>
    </row>
    <row r="28" spans="1:8" ht="24.75" customHeight="1">
      <c r="A28" s="103" t="s">
        <v>40</v>
      </c>
      <c r="B28" s="28" t="s">
        <v>9</v>
      </c>
      <c r="C28" s="29">
        <f>C29</f>
        <v>0</v>
      </c>
      <c r="D28" s="29">
        <f>D29</f>
        <v>47450000</v>
      </c>
      <c r="E28" s="67"/>
      <c r="F28" s="67"/>
      <c r="G28" s="109"/>
      <c r="H28" s="76"/>
    </row>
    <row r="29" spans="1:8" ht="37.5" customHeight="1">
      <c r="A29" s="8">
        <v>7750</v>
      </c>
      <c r="B29" s="9" t="s">
        <v>9</v>
      </c>
      <c r="C29" s="10"/>
      <c r="D29" s="75">
        <v>47450000</v>
      </c>
      <c r="E29" s="67"/>
      <c r="F29" s="67"/>
      <c r="G29" s="75"/>
      <c r="H29" s="76"/>
    </row>
    <row r="30" spans="1:8" ht="34.5" customHeight="1">
      <c r="A30" s="27">
        <v>1.2</v>
      </c>
      <c r="B30" s="28" t="s">
        <v>117</v>
      </c>
      <c r="C30" s="29">
        <v>145000000</v>
      </c>
      <c r="D30" s="109"/>
      <c r="E30" s="67"/>
      <c r="F30" s="67"/>
      <c r="G30" s="75"/>
      <c r="H30" s="76"/>
    </row>
    <row r="31" spans="1:8" ht="35.25" customHeight="1">
      <c r="A31" s="27">
        <v>1.3</v>
      </c>
      <c r="B31" s="28" t="s">
        <v>119</v>
      </c>
      <c r="C31" s="29">
        <f>C32</f>
        <v>130605870</v>
      </c>
      <c r="D31" s="109">
        <f>D32</f>
        <v>103654464</v>
      </c>
      <c r="E31" s="67"/>
      <c r="F31" s="67"/>
      <c r="G31" s="29">
        <f>G33</f>
        <v>0</v>
      </c>
      <c r="H31" s="76"/>
    </row>
    <row r="32" spans="1:8" ht="24.75" customHeight="1">
      <c r="A32" s="8">
        <v>7000</v>
      </c>
      <c r="B32" s="9" t="s">
        <v>112</v>
      </c>
      <c r="C32" s="126">
        <v>130605870</v>
      </c>
      <c r="D32" s="75">
        <v>103654464</v>
      </c>
      <c r="E32" s="67">
        <f>D32/C32</f>
        <v>0.793643225989766</v>
      </c>
      <c r="F32" s="67"/>
      <c r="G32" s="75"/>
      <c r="H32" s="76"/>
    </row>
    <row r="33" spans="1:8" ht="24.75" customHeight="1">
      <c r="A33" s="27">
        <v>1.4</v>
      </c>
      <c r="B33" s="28" t="s">
        <v>118</v>
      </c>
      <c r="C33" s="29">
        <f>SUM(C34:C36)</f>
        <v>16000000</v>
      </c>
      <c r="D33" s="29">
        <f>SUM(D34:D36)</f>
        <v>97006402</v>
      </c>
      <c r="E33" s="70">
        <f>SUM(E34:E36)</f>
        <v>1.987806875</v>
      </c>
      <c r="F33" s="29">
        <f>SUM(F34:F36)</f>
        <v>0</v>
      </c>
      <c r="G33" s="92"/>
      <c r="H33" s="76"/>
    </row>
    <row r="34" spans="1:8" ht="24.75" customHeight="1">
      <c r="A34" s="8">
        <v>6000</v>
      </c>
      <c r="B34" s="9" t="s">
        <v>106</v>
      </c>
      <c r="C34" s="10">
        <v>16000000</v>
      </c>
      <c r="D34" s="117">
        <f>24796391+5931408+1077111</f>
        <v>31804910</v>
      </c>
      <c r="E34" s="67">
        <f>D34/C34</f>
        <v>1.987806875</v>
      </c>
      <c r="F34" s="67"/>
      <c r="H34" s="76"/>
    </row>
    <row r="35" spans="1:8" ht="24.75" customHeight="1">
      <c r="A35" s="118">
        <v>6100</v>
      </c>
      <c r="B35" s="119" t="s">
        <v>107</v>
      </c>
      <c r="C35" s="120"/>
      <c r="D35" s="121"/>
      <c r="E35" s="122"/>
      <c r="F35" s="122"/>
      <c r="H35" s="76"/>
    </row>
    <row r="36" spans="1:11" ht="24.75" customHeight="1">
      <c r="A36" s="8">
        <v>6300</v>
      </c>
      <c r="B36" s="9" t="s">
        <v>108</v>
      </c>
      <c r="C36" s="29"/>
      <c r="D36" s="117">
        <f>53130925+9108159+2962408</f>
        <v>65201492</v>
      </c>
      <c r="E36" s="67"/>
      <c r="F36" s="67"/>
      <c r="H36" s="76"/>
      <c r="J36" t="s">
        <v>8</v>
      </c>
      <c r="K36">
        <v>93040000</v>
      </c>
    </row>
    <row r="37" spans="1:8" ht="24.75" customHeight="1">
      <c r="A37" s="22"/>
      <c r="B37" s="23"/>
      <c r="C37" s="123"/>
      <c r="D37" s="124"/>
      <c r="E37" s="125"/>
      <c r="F37" s="125"/>
      <c r="H37" s="76"/>
    </row>
    <row r="38" spans="4:10" ht="16.5">
      <c r="D38" s="154" t="s">
        <v>105</v>
      </c>
      <c r="E38" s="154"/>
      <c r="F38" s="154"/>
      <c r="J38" t="s">
        <v>9</v>
      </c>
    </row>
    <row r="39" spans="4:6" ht="15.75">
      <c r="D39" s="157" t="s">
        <v>60</v>
      </c>
      <c r="E39" s="157"/>
      <c r="F39" s="157"/>
    </row>
    <row r="40" spans="4:6" ht="15.75">
      <c r="D40" s="1"/>
      <c r="E40" s="1"/>
      <c r="F40" s="1"/>
    </row>
    <row r="41" spans="4:6" ht="15.75">
      <c r="D41" s="1"/>
      <c r="E41" s="1"/>
      <c r="F41" s="1"/>
    </row>
    <row r="42" spans="4:6" ht="15.75">
      <c r="D42" s="1"/>
      <c r="E42" s="1"/>
      <c r="F42" s="1"/>
    </row>
    <row r="43" spans="4:6" ht="15.75">
      <c r="D43" s="1"/>
      <c r="E43" s="1"/>
      <c r="F43" s="1"/>
    </row>
    <row r="44" spans="4:6" ht="15.75">
      <c r="D44" s="162" t="s">
        <v>100</v>
      </c>
      <c r="E44" s="162"/>
      <c r="F44" s="162"/>
    </row>
    <row r="45" spans="2:6" ht="15.75">
      <c r="B45" s="59" t="s">
        <v>76</v>
      </c>
      <c r="D45" s="1"/>
      <c r="E45" s="1"/>
      <c r="F45" s="1"/>
    </row>
    <row r="46" spans="2:6" ht="23.25" customHeight="1">
      <c r="B46" s="61" t="s">
        <v>75</v>
      </c>
      <c r="D46" s="1"/>
      <c r="E46" s="1"/>
      <c r="F46" s="1"/>
    </row>
    <row r="47" spans="2:7" ht="21.75" customHeight="1">
      <c r="B47" s="61" t="s">
        <v>77</v>
      </c>
      <c r="C47" s="1"/>
      <c r="D47" s="1"/>
      <c r="E47" s="1"/>
      <c r="F47" s="1"/>
      <c r="G47" s="110"/>
    </row>
    <row r="48" spans="4:6" ht="15.75">
      <c r="D48" s="1"/>
      <c r="E48" s="1"/>
      <c r="F48" s="1"/>
    </row>
    <row r="49" spans="4:6" ht="16.5">
      <c r="D49" s="159"/>
      <c r="E49" s="159"/>
      <c r="F49" s="159"/>
    </row>
    <row r="50" spans="4:6" ht="15.75">
      <c r="D50" s="1"/>
      <c r="E50" s="1"/>
      <c r="F50" s="1"/>
    </row>
  </sheetData>
  <sheetProtection/>
  <mergeCells count="13">
    <mergeCell ref="D38:F38"/>
    <mergeCell ref="D39:F39"/>
    <mergeCell ref="D44:F44"/>
    <mergeCell ref="D49:F49"/>
    <mergeCell ref="D1:F1"/>
    <mergeCell ref="D2:F2"/>
    <mergeCell ref="A3:F3"/>
    <mergeCell ref="A4:F4"/>
    <mergeCell ref="A6:A7"/>
    <mergeCell ref="B6:B7"/>
    <mergeCell ref="C6:C7"/>
    <mergeCell ref="D6:D7"/>
    <mergeCell ref="E6:F6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zoomScalePageLayoutView="0" workbookViewId="0" topLeftCell="A1">
      <selection activeCell="L36" sqref="L36"/>
    </sheetView>
  </sheetViews>
  <sheetFormatPr defaultColWidth="8.796875" defaultRowHeight="15"/>
  <cols>
    <col min="1" max="1" width="8.19921875" style="0" customWidth="1"/>
    <col min="2" max="2" width="40.19921875" style="0" customWidth="1"/>
    <col min="3" max="3" width="18.8984375" style="0" customWidth="1"/>
    <col min="4" max="4" width="19.8984375" style="0" customWidth="1"/>
  </cols>
  <sheetData>
    <row r="1" spans="1:4" ht="23.25" customHeight="1">
      <c r="A1" s="19" t="s">
        <v>99</v>
      </c>
      <c r="B1" s="32"/>
      <c r="D1" s="35"/>
    </row>
    <row r="2" spans="1:4" ht="32.25" customHeight="1">
      <c r="A2" s="17" t="s">
        <v>79</v>
      </c>
      <c r="B2" s="38"/>
      <c r="D2" s="26"/>
    </row>
    <row r="3" spans="1:4" ht="50.25" customHeight="1">
      <c r="A3" s="181" t="s">
        <v>140</v>
      </c>
      <c r="B3" s="164"/>
      <c r="C3" s="164"/>
      <c r="D3" s="164"/>
    </row>
    <row r="4" spans="1:4" ht="26.25" customHeight="1">
      <c r="A4" s="1"/>
      <c r="B4" s="1"/>
      <c r="D4" s="25" t="s">
        <v>11</v>
      </c>
    </row>
    <row r="5" spans="1:4" ht="27.75" customHeight="1">
      <c r="A5" s="153" t="s">
        <v>0</v>
      </c>
      <c r="B5" s="153" t="s">
        <v>54</v>
      </c>
      <c r="C5" s="163" t="s">
        <v>134</v>
      </c>
      <c r="D5" s="160" t="s">
        <v>139</v>
      </c>
    </row>
    <row r="6" spans="1:4" ht="33.75" customHeight="1">
      <c r="A6" s="153"/>
      <c r="B6" s="153"/>
      <c r="C6" s="153"/>
      <c r="D6" s="160"/>
    </row>
    <row r="7" spans="1:4" ht="36.75" customHeight="1">
      <c r="A7" s="2" t="s">
        <v>2</v>
      </c>
      <c r="B7" s="3" t="s">
        <v>73</v>
      </c>
      <c r="C7" s="4"/>
      <c r="D7" s="4"/>
    </row>
    <row r="8" spans="1:4" ht="24.75" customHeight="1">
      <c r="A8" s="5" t="s">
        <v>3</v>
      </c>
      <c r="B8" s="6" t="s">
        <v>72</v>
      </c>
      <c r="C8" s="7">
        <f>C9</f>
        <v>3676228870</v>
      </c>
      <c r="D8" s="7">
        <f>D9</f>
        <v>3400310079</v>
      </c>
    </row>
    <row r="9" spans="1:4" ht="24.75" customHeight="1">
      <c r="A9" s="5">
        <v>1</v>
      </c>
      <c r="B9" s="6" t="s">
        <v>37</v>
      </c>
      <c r="C9" s="7">
        <f>C10+C29+C30+C32</f>
        <v>3676228870</v>
      </c>
      <c r="D9" s="7">
        <f>D10+D29+D30+D32</f>
        <v>3400310079</v>
      </c>
    </row>
    <row r="10" spans="1:4" ht="24.75" customHeight="1">
      <c r="A10" s="27" t="s">
        <v>32</v>
      </c>
      <c r="B10" s="28" t="s">
        <v>38</v>
      </c>
      <c r="C10" s="29">
        <f>C11+C16+C25+C27</f>
        <v>3384623000</v>
      </c>
      <c r="D10" s="29">
        <f>D11+D16+D25+D27</f>
        <v>3199649213</v>
      </c>
    </row>
    <row r="11" spans="1:4" ht="24.75" customHeight="1">
      <c r="A11" s="103" t="s">
        <v>40</v>
      </c>
      <c r="B11" s="28" t="s">
        <v>6</v>
      </c>
      <c r="C11" s="29">
        <f>SUM(C12:C15)</f>
        <v>2415251000</v>
      </c>
      <c r="D11" s="29">
        <f>SUM(D12:D15)</f>
        <v>2608459837</v>
      </c>
    </row>
    <row r="12" spans="1:4" ht="24.75" customHeight="1">
      <c r="A12" s="8">
        <v>6000</v>
      </c>
      <c r="B12" s="9" t="s">
        <v>106</v>
      </c>
      <c r="C12" s="10">
        <f>733710600+733710000</f>
        <v>1467420600</v>
      </c>
      <c r="D12" s="75">
        <f>1274252402+345766394+19439289</f>
        <v>1639458085</v>
      </c>
    </row>
    <row r="13" spans="1:4" ht="24.75" customHeight="1">
      <c r="A13" s="8">
        <v>6100</v>
      </c>
      <c r="B13" s="9" t="s">
        <v>107</v>
      </c>
      <c r="C13" s="10">
        <f>270162000+270162400</f>
        <v>540324400</v>
      </c>
      <c r="D13" s="75">
        <f>20016000+13017527+483830948+834000+96757955</f>
        <v>614456430</v>
      </c>
    </row>
    <row r="14" spans="1:4" ht="24.75" customHeight="1">
      <c r="A14" s="8">
        <v>6300</v>
      </c>
      <c r="B14" s="21" t="s">
        <v>108</v>
      </c>
      <c r="C14" s="10">
        <f>201503000*2</f>
        <v>403006000</v>
      </c>
      <c r="D14" s="75">
        <f>259775541+44532950+35760739+14476092</f>
        <v>354545322</v>
      </c>
    </row>
    <row r="15" spans="1:4" ht="24.75" customHeight="1">
      <c r="A15" s="8">
        <v>6404</v>
      </c>
      <c r="B15" s="21" t="s">
        <v>114</v>
      </c>
      <c r="C15" s="10">
        <v>4500000</v>
      </c>
      <c r="D15" s="75"/>
    </row>
    <row r="16" spans="1:4" ht="24.75" customHeight="1">
      <c r="A16" s="103" t="s">
        <v>40</v>
      </c>
      <c r="B16" s="104" t="s">
        <v>109</v>
      </c>
      <c r="C16" s="29">
        <f>SUM(C17:C24)</f>
        <v>954372000</v>
      </c>
      <c r="D16" s="29">
        <f>SUM(D17:D24)</f>
        <v>543365376</v>
      </c>
    </row>
    <row r="17" spans="1:4" ht="24.75" customHeight="1">
      <c r="A17" s="8">
        <v>6500</v>
      </c>
      <c r="B17" s="21" t="s">
        <v>25</v>
      </c>
      <c r="C17" s="10">
        <f>67273000+94182000</f>
        <v>161455000</v>
      </c>
      <c r="D17" s="75">
        <f>64346578+1465378+30450000</f>
        <v>96261956</v>
      </c>
    </row>
    <row r="18" spans="1:4" ht="24.75" customHeight="1">
      <c r="A18" s="8">
        <v>6550</v>
      </c>
      <c r="B18" s="21" t="s">
        <v>110</v>
      </c>
      <c r="C18" s="10">
        <f>46000000+61650000</f>
        <v>107650000</v>
      </c>
      <c r="D18" s="75">
        <v>10400000</v>
      </c>
    </row>
    <row r="19" spans="1:4" ht="24.75" customHeight="1">
      <c r="A19" s="8">
        <v>6600</v>
      </c>
      <c r="B19" s="21" t="s">
        <v>115</v>
      </c>
      <c r="C19" s="10">
        <f>47620000+50000000</f>
        <v>97620000</v>
      </c>
      <c r="D19" s="75">
        <f>707020+2806200+4355600</f>
        <v>7868820</v>
      </c>
    </row>
    <row r="20" spans="1:4" ht="24.75" customHeight="1">
      <c r="A20" s="8">
        <v>6650</v>
      </c>
      <c r="B20" s="9" t="s">
        <v>86</v>
      </c>
      <c r="C20" s="10">
        <f>6304000+10609000</f>
        <v>16913000</v>
      </c>
      <c r="D20" s="75"/>
    </row>
    <row r="21" spans="1:4" ht="24.75" customHeight="1">
      <c r="A21" s="8">
        <v>6700</v>
      </c>
      <c r="B21" s="9" t="s">
        <v>111</v>
      </c>
      <c r="C21" s="10">
        <v>14000000</v>
      </c>
      <c r="D21" s="75">
        <v>12000000</v>
      </c>
    </row>
    <row r="22" spans="1:4" ht="24.75" customHeight="1">
      <c r="A22" s="8">
        <v>6750</v>
      </c>
      <c r="B22" s="9" t="s">
        <v>135</v>
      </c>
      <c r="C22" s="10">
        <f>30775000*2</f>
        <v>61550000</v>
      </c>
      <c r="D22" s="75"/>
    </row>
    <row r="23" spans="1:4" ht="24.75" customHeight="1">
      <c r="A23" s="8">
        <v>6900</v>
      </c>
      <c r="B23" s="9" t="s">
        <v>123</v>
      </c>
      <c r="C23" s="10">
        <f>8543000+17087000</f>
        <v>25630000</v>
      </c>
      <c r="D23" s="75">
        <v>58350000</v>
      </c>
    </row>
    <row r="24" spans="1:4" ht="24.75" customHeight="1">
      <c r="A24" s="8">
        <v>7000</v>
      </c>
      <c r="B24" s="9" t="s">
        <v>112</v>
      </c>
      <c r="C24" s="10">
        <f>280000000+189554000</f>
        <v>469554000</v>
      </c>
      <c r="D24" s="75">
        <f>303951000+54533600</f>
        <v>358484600</v>
      </c>
    </row>
    <row r="25" spans="1:4" ht="24.75" customHeight="1">
      <c r="A25" s="103" t="s">
        <v>40</v>
      </c>
      <c r="B25" s="28" t="s">
        <v>8</v>
      </c>
      <c r="C25" s="29">
        <f>C26</f>
        <v>15000000</v>
      </c>
      <c r="D25" s="29">
        <f>D26</f>
        <v>374000</v>
      </c>
    </row>
    <row r="26" spans="1:4" ht="24.75" customHeight="1">
      <c r="A26" s="8">
        <v>7050</v>
      </c>
      <c r="B26" s="9" t="s">
        <v>116</v>
      </c>
      <c r="C26" s="10">
        <v>15000000</v>
      </c>
      <c r="D26" s="75">
        <v>374000</v>
      </c>
    </row>
    <row r="27" spans="1:4" ht="24.75" customHeight="1">
      <c r="A27" s="103" t="s">
        <v>40</v>
      </c>
      <c r="B27" s="28" t="s">
        <v>9</v>
      </c>
      <c r="C27" s="29">
        <f>C28</f>
        <v>0</v>
      </c>
      <c r="D27" s="29">
        <f>D28</f>
        <v>47450000</v>
      </c>
    </row>
    <row r="28" spans="1:4" ht="24.75" customHeight="1">
      <c r="A28" s="8">
        <v>7750</v>
      </c>
      <c r="B28" s="9" t="s">
        <v>9</v>
      </c>
      <c r="C28" s="10"/>
      <c r="D28" s="75">
        <v>47450000</v>
      </c>
    </row>
    <row r="29" spans="1:4" ht="37.5" customHeight="1">
      <c r="A29" s="27">
        <v>1.2</v>
      </c>
      <c r="B29" s="28" t="s">
        <v>117</v>
      </c>
      <c r="C29" s="29">
        <v>145000000</v>
      </c>
      <c r="D29" s="109"/>
    </row>
    <row r="30" spans="1:4" ht="34.5" customHeight="1">
      <c r="A30" s="27">
        <v>1.3</v>
      </c>
      <c r="B30" s="28" t="s">
        <v>119</v>
      </c>
      <c r="C30" s="29">
        <f>C31</f>
        <v>130605870</v>
      </c>
      <c r="D30" s="109">
        <f>D31</f>
        <v>103654464</v>
      </c>
    </row>
    <row r="31" spans="1:4" ht="24.75" customHeight="1">
      <c r="A31" s="8">
        <v>7000</v>
      </c>
      <c r="B31" s="9" t="s">
        <v>112</v>
      </c>
      <c r="C31" s="126">
        <v>130605870</v>
      </c>
      <c r="D31" s="75">
        <v>103654464</v>
      </c>
    </row>
    <row r="32" spans="1:4" ht="24.75" customHeight="1">
      <c r="A32" s="27">
        <v>1.4</v>
      </c>
      <c r="B32" s="28" t="s">
        <v>118</v>
      </c>
      <c r="C32" s="29">
        <f>SUM(C33:C35)</f>
        <v>16000000</v>
      </c>
      <c r="D32" s="29">
        <f>SUM(D33:D35)</f>
        <v>97006402</v>
      </c>
    </row>
    <row r="33" spans="1:4" ht="24.75" customHeight="1">
      <c r="A33" s="8">
        <v>6000</v>
      </c>
      <c r="B33" s="9" t="s">
        <v>106</v>
      </c>
      <c r="C33" s="10">
        <v>16000000</v>
      </c>
      <c r="D33" s="117">
        <f>24796391+5931408+1077111</f>
        <v>31804910</v>
      </c>
    </row>
    <row r="34" spans="1:4" ht="24.75" customHeight="1">
      <c r="A34" s="8">
        <v>6100</v>
      </c>
      <c r="B34" s="9" t="s">
        <v>107</v>
      </c>
      <c r="C34" s="120"/>
      <c r="D34" s="121"/>
    </row>
    <row r="35" spans="1:4" ht="24.75" customHeight="1">
      <c r="A35" s="8">
        <v>6300</v>
      </c>
      <c r="B35" s="21" t="s">
        <v>108</v>
      </c>
      <c r="C35" s="29"/>
      <c r="D35" s="117">
        <f>53130925+9108159+2962408</f>
        <v>65201492</v>
      </c>
    </row>
    <row r="36" spans="1:4" ht="24.75" customHeight="1">
      <c r="A36" s="8"/>
      <c r="B36" s="9"/>
      <c r="C36" s="10"/>
      <c r="D36" s="75"/>
    </row>
    <row r="37" spans="1:4" ht="24.75" customHeight="1">
      <c r="A37" s="22"/>
      <c r="B37" s="23"/>
      <c r="C37" s="24"/>
      <c r="D37" s="60"/>
    </row>
    <row r="38" spans="3:4" ht="16.5">
      <c r="C38" s="154" t="s">
        <v>105</v>
      </c>
      <c r="D38" s="154"/>
    </row>
    <row r="39" spans="3:4" ht="15.75">
      <c r="C39" s="157" t="s">
        <v>60</v>
      </c>
      <c r="D39" s="157"/>
    </row>
    <row r="40" ht="15.75">
      <c r="D40" s="1"/>
    </row>
    <row r="41" ht="15.75">
      <c r="D41" s="1"/>
    </row>
    <row r="42" ht="15.75">
      <c r="D42" s="1"/>
    </row>
    <row r="43" ht="15.75">
      <c r="D43" s="1"/>
    </row>
    <row r="44" spans="3:4" ht="15.75">
      <c r="C44" s="162" t="s">
        <v>100</v>
      </c>
      <c r="D44" s="162"/>
    </row>
    <row r="45" spans="2:4" ht="15.75">
      <c r="B45" s="59" t="s">
        <v>76</v>
      </c>
      <c r="D45" s="1"/>
    </row>
    <row r="46" spans="2:4" ht="23.25" customHeight="1">
      <c r="B46" s="61" t="s">
        <v>75</v>
      </c>
      <c r="D46" s="1"/>
    </row>
    <row r="47" spans="2:4" ht="21.75" customHeight="1">
      <c r="B47" s="61" t="s">
        <v>77</v>
      </c>
      <c r="C47" s="1"/>
      <c r="D47" s="1"/>
    </row>
    <row r="48" ht="15.75">
      <c r="D48" s="1"/>
    </row>
    <row r="49" ht="16.5">
      <c r="D49" s="18"/>
    </row>
    <row r="50" spans="1:12" s="101" customFormat="1" ht="15.75">
      <c r="A50"/>
      <c r="B50"/>
      <c r="C50"/>
      <c r="D50" s="1"/>
      <c r="E50"/>
      <c r="F50"/>
      <c r="G50"/>
      <c r="H50"/>
      <c r="I50"/>
      <c r="J50"/>
      <c r="K50"/>
      <c r="L50"/>
    </row>
  </sheetData>
  <sheetProtection/>
  <mergeCells count="8">
    <mergeCell ref="C39:D39"/>
    <mergeCell ref="C44:D44"/>
    <mergeCell ref="A3:D3"/>
    <mergeCell ref="A5:A6"/>
    <mergeCell ref="B5:B6"/>
    <mergeCell ref="C5:C6"/>
    <mergeCell ref="D5:D6"/>
    <mergeCell ref="C38:D38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zoomScalePageLayoutView="0" workbookViewId="0" topLeftCell="A1">
      <selection activeCell="C8" sqref="C8:D36"/>
    </sheetView>
  </sheetViews>
  <sheetFormatPr defaultColWidth="8.796875" defaultRowHeight="15"/>
  <cols>
    <col min="1" max="1" width="8.19921875" style="0" customWidth="1"/>
    <col min="2" max="2" width="40.19921875" style="0" customWidth="1"/>
    <col min="3" max="3" width="18.8984375" style="0" customWidth="1"/>
    <col min="4" max="4" width="19.8984375" style="0" customWidth="1"/>
  </cols>
  <sheetData>
    <row r="1" spans="1:4" ht="23.25" customHeight="1">
      <c r="A1" s="19" t="s">
        <v>99</v>
      </c>
      <c r="B1" s="32"/>
      <c r="D1" s="35"/>
    </row>
    <row r="2" spans="1:4" ht="32.25" customHeight="1">
      <c r="A2" s="17" t="s">
        <v>79</v>
      </c>
      <c r="B2" s="38"/>
      <c r="D2" s="26"/>
    </row>
    <row r="3" spans="1:4" ht="50.25" customHeight="1">
      <c r="A3" s="181" t="s">
        <v>142</v>
      </c>
      <c r="B3" s="164"/>
      <c r="C3" s="164"/>
      <c r="D3" s="164"/>
    </row>
    <row r="4" spans="1:4" ht="26.25" customHeight="1">
      <c r="A4" s="1"/>
      <c r="B4" s="1"/>
      <c r="D4" s="25" t="s">
        <v>11</v>
      </c>
    </row>
    <row r="5" spans="1:4" ht="27.75" customHeight="1">
      <c r="A5" s="153" t="s">
        <v>0</v>
      </c>
      <c r="B5" s="153" t="s">
        <v>54</v>
      </c>
      <c r="C5" s="163" t="s">
        <v>134</v>
      </c>
      <c r="D5" s="160" t="s">
        <v>143</v>
      </c>
    </row>
    <row r="6" spans="1:4" ht="33.75" customHeight="1">
      <c r="A6" s="153"/>
      <c r="B6" s="153"/>
      <c r="C6" s="153"/>
      <c r="D6" s="160"/>
    </row>
    <row r="7" spans="1:4" ht="36.75" customHeight="1">
      <c r="A7" s="2" t="s">
        <v>2</v>
      </c>
      <c r="B7" s="3" t="s">
        <v>73</v>
      </c>
      <c r="C7" s="4"/>
      <c r="D7" s="4"/>
    </row>
    <row r="8" spans="1:4" ht="24.75" customHeight="1">
      <c r="A8" s="5" t="s">
        <v>3</v>
      </c>
      <c r="B8" s="6" t="s">
        <v>72</v>
      </c>
      <c r="C8" s="7">
        <f>C9</f>
        <v>1463270000</v>
      </c>
      <c r="D8" s="7">
        <f>D9</f>
        <v>1504862861</v>
      </c>
    </row>
    <row r="9" spans="1:4" ht="24.75" customHeight="1">
      <c r="A9" s="5">
        <v>1</v>
      </c>
      <c r="B9" s="6" t="s">
        <v>37</v>
      </c>
      <c r="C9" s="7">
        <f>C10+C30+C31+C33</f>
        <v>1463270000</v>
      </c>
      <c r="D9" s="7">
        <f>D10+D30+D31+D33</f>
        <v>1504862861</v>
      </c>
    </row>
    <row r="10" spans="1:4" ht="24.75" customHeight="1">
      <c r="A10" s="27" t="s">
        <v>32</v>
      </c>
      <c r="B10" s="28" t="s">
        <v>38</v>
      </c>
      <c r="C10" s="29">
        <f>C11+C16+C26+C28</f>
        <v>1463270000</v>
      </c>
      <c r="D10" s="29">
        <f>D11+D16+D26+D28</f>
        <v>1504862861</v>
      </c>
    </row>
    <row r="11" spans="1:4" ht="24.75" customHeight="1">
      <c r="A11" s="103" t="s">
        <v>40</v>
      </c>
      <c r="B11" s="28" t="s">
        <v>6</v>
      </c>
      <c r="C11" s="29">
        <f>SUM(C12:C15)</f>
        <v>1205375000</v>
      </c>
      <c r="D11" s="29">
        <f>SUM(D12:D15)</f>
        <v>1204351809</v>
      </c>
    </row>
    <row r="12" spans="1:4" ht="24.75" customHeight="1">
      <c r="A12" s="8">
        <v>6000</v>
      </c>
      <c r="B12" s="9" t="s">
        <v>106</v>
      </c>
      <c r="C12" s="10">
        <v>733710000</v>
      </c>
      <c r="D12" s="75">
        <v>780553932</v>
      </c>
    </row>
    <row r="13" spans="1:4" ht="24.75" customHeight="1">
      <c r="A13" s="8">
        <v>6100</v>
      </c>
      <c r="B13" s="9" t="s">
        <v>107</v>
      </c>
      <c r="C13" s="10">
        <v>270162000</v>
      </c>
      <c r="D13" s="75">
        <v>212459225</v>
      </c>
    </row>
    <row r="14" spans="1:4" ht="24.75" customHeight="1">
      <c r="A14" s="8">
        <v>6300</v>
      </c>
      <c r="B14" s="21" t="s">
        <v>108</v>
      </c>
      <c r="C14" s="10">
        <v>201503000</v>
      </c>
      <c r="D14" s="75">
        <v>211338652</v>
      </c>
    </row>
    <row r="15" spans="1:4" ht="24.75" customHeight="1">
      <c r="A15" s="8">
        <v>6404</v>
      </c>
      <c r="B15" s="21" t="s">
        <v>114</v>
      </c>
      <c r="C15" s="10"/>
      <c r="D15" s="75"/>
    </row>
    <row r="16" spans="1:4" ht="24.75" customHeight="1">
      <c r="A16" s="103" t="s">
        <v>40</v>
      </c>
      <c r="B16" s="104" t="s">
        <v>109</v>
      </c>
      <c r="C16" s="29">
        <f>SUM(C17:C25)</f>
        <v>252895000</v>
      </c>
      <c r="D16" s="29">
        <f>SUM(D17:D25)</f>
        <v>279511052</v>
      </c>
    </row>
    <row r="17" spans="1:4" ht="24.75" customHeight="1">
      <c r="A17" s="8">
        <v>6500</v>
      </c>
      <c r="B17" s="21" t="s">
        <v>25</v>
      </c>
      <c r="C17" s="10">
        <v>67273000</v>
      </c>
      <c r="D17" s="75">
        <v>69648116</v>
      </c>
    </row>
    <row r="18" spans="1:4" ht="24.75" customHeight="1">
      <c r="A18" s="8">
        <v>6550</v>
      </c>
      <c r="B18" s="21" t="s">
        <v>110</v>
      </c>
      <c r="C18" s="10">
        <v>30000000</v>
      </c>
      <c r="D18" s="75">
        <v>6920000</v>
      </c>
    </row>
    <row r="19" spans="1:4" ht="24.75" customHeight="1">
      <c r="A19" s="8">
        <v>6600</v>
      </c>
      <c r="B19" s="21" t="s">
        <v>115</v>
      </c>
      <c r="C19" s="10">
        <v>15000000</v>
      </c>
      <c r="D19" s="75">
        <v>1768936</v>
      </c>
    </row>
    <row r="20" spans="1:4" ht="24.75" customHeight="1">
      <c r="A20" s="8">
        <v>6650</v>
      </c>
      <c r="B20" s="9" t="s">
        <v>86</v>
      </c>
      <c r="C20" s="10">
        <v>6304000</v>
      </c>
      <c r="D20" s="75"/>
    </row>
    <row r="21" spans="1:4" ht="24.75" customHeight="1">
      <c r="A21" s="8">
        <v>6700</v>
      </c>
      <c r="B21" s="9" t="s">
        <v>111</v>
      </c>
      <c r="C21" s="10">
        <v>5000000</v>
      </c>
      <c r="D21" s="75">
        <v>6000000</v>
      </c>
    </row>
    <row r="22" spans="1:4" ht="24.75" customHeight="1">
      <c r="A22" s="8">
        <v>6750</v>
      </c>
      <c r="B22" s="9" t="s">
        <v>135</v>
      </c>
      <c r="C22" s="10">
        <v>30775000</v>
      </c>
      <c r="D22" s="75"/>
    </row>
    <row r="23" spans="1:4" ht="24.75" customHeight="1">
      <c r="A23" s="8">
        <v>6900</v>
      </c>
      <c r="B23" s="9" t="s">
        <v>123</v>
      </c>
      <c r="C23" s="10">
        <v>8543000</v>
      </c>
      <c r="D23" s="75">
        <v>9690000</v>
      </c>
    </row>
    <row r="24" spans="1:4" ht="24.75" customHeight="1">
      <c r="A24" s="8">
        <v>6950</v>
      </c>
      <c r="B24" s="9" t="s">
        <v>144</v>
      </c>
      <c r="C24" s="10"/>
      <c r="D24" s="75">
        <v>41760000</v>
      </c>
    </row>
    <row r="25" spans="1:4" ht="24.75" customHeight="1">
      <c r="A25" s="8">
        <v>7000</v>
      </c>
      <c r="B25" s="9" t="s">
        <v>112</v>
      </c>
      <c r="C25" s="10">
        <v>90000000</v>
      </c>
      <c r="D25" s="75">
        <v>143724000</v>
      </c>
    </row>
    <row r="26" spans="1:4" ht="24.75" customHeight="1">
      <c r="A26" s="103" t="s">
        <v>40</v>
      </c>
      <c r="B26" s="28" t="s">
        <v>8</v>
      </c>
      <c r="C26" s="29">
        <f>C27</f>
        <v>5000000</v>
      </c>
      <c r="D26" s="29">
        <f>D27</f>
        <v>7000000</v>
      </c>
    </row>
    <row r="27" spans="1:4" ht="24.75" customHeight="1">
      <c r="A27" s="8">
        <v>7050</v>
      </c>
      <c r="B27" s="9" t="s">
        <v>116</v>
      </c>
      <c r="C27" s="10">
        <v>5000000</v>
      </c>
      <c r="D27" s="75">
        <v>7000000</v>
      </c>
    </row>
    <row r="28" spans="1:4" ht="24.75" customHeight="1">
      <c r="A28" s="103" t="s">
        <v>40</v>
      </c>
      <c r="B28" s="28" t="s">
        <v>9</v>
      </c>
      <c r="C28" s="29">
        <f>C29</f>
        <v>0</v>
      </c>
      <c r="D28" s="29">
        <f>D29</f>
        <v>14000000</v>
      </c>
    </row>
    <row r="29" spans="1:4" ht="24.75" customHeight="1">
      <c r="A29" s="8">
        <v>7750</v>
      </c>
      <c r="B29" s="9" t="s">
        <v>9</v>
      </c>
      <c r="C29" s="10"/>
      <c r="D29" s="75">
        <v>14000000</v>
      </c>
    </row>
    <row r="30" spans="1:4" ht="37.5" customHeight="1">
      <c r="A30" s="27">
        <v>1.2</v>
      </c>
      <c r="B30" s="28" t="s">
        <v>117</v>
      </c>
      <c r="C30" s="29"/>
      <c r="D30" s="109"/>
    </row>
    <row r="31" spans="1:4" ht="34.5" customHeight="1">
      <c r="A31" s="27">
        <v>1.3</v>
      </c>
      <c r="B31" s="28" t="s">
        <v>119</v>
      </c>
      <c r="C31" s="29">
        <f>C32</f>
        <v>0</v>
      </c>
      <c r="D31" s="109">
        <f>D32</f>
        <v>0</v>
      </c>
    </row>
    <row r="32" spans="1:4" ht="24.75" customHeight="1">
      <c r="A32" s="8">
        <v>7000</v>
      </c>
      <c r="B32" s="9" t="s">
        <v>112</v>
      </c>
      <c r="C32" s="126"/>
      <c r="D32" s="75"/>
    </row>
    <row r="33" spans="1:4" ht="24.75" customHeight="1">
      <c r="A33" s="27">
        <v>1.4</v>
      </c>
      <c r="B33" s="28" t="s">
        <v>118</v>
      </c>
      <c r="C33" s="29">
        <f>C37</f>
        <v>0</v>
      </c>
      <c r="D33" s="29">
        <f>SUM(D34:D36)</f>
        <v>0</v>
      </c>
    </row>
    <row r="34" spans="1:4" ht="24.75" customHeight="1">
      <c r="A34" s="8">
        <v>6000</v>
      </c>
      <c r="B34" s="9" t="s">
        <v>106</v>
      </c>
      <c r="C34" s="29"/>
      <c r="D34" s="117"/>
    </row>
    <row r="35" spans="1:4" ht="24.75" customHeight="1">
      <c r="A35" s="8">
        <v>6100</v>
      </c>
      <c r="B35" s="9" t="s">
        <v>107</v>
      </c>
      <c r="C35" s="29"/>
      <c r="D35" s="117"/>
    </row>
    <row r="36" spans="1:4" ht="24.75" customHeight="1">
      <c r="A36" s="8">
        <v>6300</v>
      </c>
      <c r="B36" s="21" t="s">
        <v>108</v>
      </c>
      <c r="C36" s="29"/>
      <c r="D36" s="117"/>
    </row>
    <row r="37" spans="1:4" ht="24.75" customHeight="1">
      <c r="A37" s="8"/>
      <c r="B37" s="9"/>
      <c r="C37" s="10"/>
      <c r="D37" s="75"/>
    </row>
    <row r="38" spans="1:4" ht="24.75" customHeight="1">
      <c r="A38" s="22"/>
      <c r="B38" s="23"/>
      <c r="C38" s="24"/>
      <c r="D38" s="60"/>
    </row>
    <row r="39" spans="3:4" ht="16.5">
      <c r="C39" s="154" t="s">
        <v>105</v>
      </c>
      <c r="D39" s="154"/>
    </row>
    <row r="40" spans="3:4" ht="15.75">
      <c r="C40" s="157" t="s">
        <v>60</v>
      </c>
      <c r="D40" s="157"/>
    </row>
    <row r="41" ht="15.75">
      <c r="D41" s="1"/>
    </row>
    <row r="42" ht="15.75">
      <c r="D42" s="1"/>
    </row>
    <row r="43" ht="15.75">
      <c r="D43" s="1"/>
    </row>
    <row r="44" ht="15.75">
      <c r="D44" s="1"/>
    </row>
    <row r="45" spans="3:4" ht="15.75">
      <c r="C45" s="162" t="s">
        <v>100</v>
      </c>
      <c r="D45" s="162"/>
    </row>
    <row r="46" spans="2:4" ht="15.75">
      <c r="B46" s="59" t="s">
        <v>76</v>
      </c>
      <c r="D46" s="1"/>
    </row>
    <row r="47" spans="2:4" ht="23.25" customHeight="1">
      <c r="B47" s="61" t="s">
        <v>75</v>
      </c>
      <c r="D47" s="1"/>
    </row>
    <row r="48" spans="2:4" ht="21.75" customHeight="1">
      <c r="B48" s="61" t="s">
        <v>77</v>
      </c>
      <c r="C48" s="1"/>
      <c r="D48" s="1"/>
    </row>
    <row r="49" ht="15.75">
      <c r="D49" s="1"/>
    </row>
    <row r="50" ht="16.5">
      <c r="D50" s="18"/>
    </row>
    <row r="51" spans="1:12" s="101" customFormat="1" ht="15.75">
      <c r="A51"/>
      <c r="B51"/>
      <c r="C51"/>
      <c r="D51" s="1"/>
      <c r="E51"/>
      <c r="F51"/>
      <c r="G51"/>
      <c r="H51"/>
      <c r="I51"/>
      <c r="J51"/>
      <c r="K51"/>
      <c r="L51"/>
    </row>
  </sheetData>
  <sheetProtection/>
  <mergeCells count="8">
    <mergeCell ref="C40:D40"/>
    <mergeCell ref="C45:D45"/>
    <mergeCell ref="A3:D3"/>
    <mergeCell ref="A5:A6"/>
    <mergeCell ref="B5:B6"/>
    <mergeCell ref="C5:C6"/>
    <mergeCell ref="D5:D6"/>
    <mergeCell ref="C39:D39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75" zoomScaleNormal="75" zoomScalePageLayoutView="0" workbookViewId="0" topLeftCell="A1">
      <selection activeCell="E31" sqref="E31"/>
    </sheetView>
  </sheetViews>
  <sheetFormatPr defaultColWidth="8.796875" defaultRowHeight="15"/>
  <cols>
    <col min="1" max="1" width="8.296875" style="0" customWidth="1"/>
    <col min="2" max="2" width="50.3984375" style="0" customWidth="1"/>
    <col min="3" max="3" width="26.796875" style="0" customWidth="1"/>
    <col min="5" max="6" width="13.6992187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78"/>
      <c r="C2" s="78"/>
    </row>
    <row r="3" spans="1:3" ht="34.5" customHeight="1">
      <c r="A3" s="164" t="s">
        <v>98</v>
      </c>
      <c r="B3" s="164"/>
      <c r="C3" s="164"/>
    </row>
    <row r="4" spans="1:7" ht="21" customHeight="1">
      <c r="A4" s="165" t="s">
        <v>101</v>
      </c>
      <c r="B4" s="165"/>
      <c r="C4" s="165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83</v>
      </c>
      <c r="C8" s="7">
        <f>C9+C10</f>
        <v>0</v>
      </c>
    </row>
    <row r="9" spans="1:3" ht="24.75" customHeight="1">
      <c r="A9" s="8" t="s">
        <v>32</v>
      </c>
      <c r="B9" s="9" t="s">
        <v>84</v>
      </c>
      <c r="C9" s="10"/>
    </row>
    <row r="10" spans="1:3" ht="24.75" customHeight="1">
      <c r="A10" s="8" t="s">
        <v>34</v>
      </c>
      <c r="B10" s="9" t="s">
        <v>85</v>
      </c>
      <c r="C10" s="10"/>
    </row>
    <row r="11" spans="1:3" ht="24.75" customHeight="1">
      <c r="A11" s="5">
        <v>2</v>
      </c>
      <c r="B11" s="6" t="s">
        <v>36</v>
      </c>
      <c r="C11" s="7">
        <f>C12+C15</f>
        <v>0</v>
      </c>
    </row>
    <row r="12" spans="1:3" ht="24.75" customHeight="1">
      <c r="A12" s="8" t="s">
        <v>65</v>
      </c>
      <c r="B12" s="9" t="s">
        <v>66</v>
      </c>
      <c r="C12" s="10">
        <f>C13+C14</f>
        <v>0</v>
      </c>
    </row>
    <row r="13" spans="1:3" ht="24.75" customHeight="1">
      <c r="A13" s="8" t="s">
        <v>17</v>
      </c>
      <c r="B13" s="43" t="s">
        <v>49</v>
      </c>
      <c r="C13" s="10"/>
    </row>
    <row r="14" spans="1:3" ht="24.75" customHeight="1">
      <c r="A14" s="8" t="s">
        <v>18</v>
      </c>
      <c r="B14" s="44" t="s">
        <v>50</v>
      </c>
      <c r="C14" s="29"/>
    </row>
    <row r="15" spans="1:7" ht="24.75" customHeight="1">
      <c r="A15" s="8" t="s">
        <v>67</v>
      </c>
      <c r="B15" s="44" t="s">
        <v>37</v>
      </c>
      <c r="C15" s="10">
        <f>C16</f>
        <v>0</v>
      </c>
      <c r="G15">
        <f>21+15</f>
        <v>36</v>
      </c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10"/>
    </row>
    <row r="22" spans="1:5" ht="24.75" customHeight="1">
      <c r="A22" s="27" t="s">
        <v>32</v>
      </c>
      <c r="B22" s="28" t="s">
        <v>38</v>
      </c>
      <c r="C22" s="7">
        <f>SUM(C23:C35)</f>
        <v>6437000000</v>
      </c>
      <c r="E22" s="101"/>
    </row>
    <row r="23" spans="1:3" ht="24.75" customHeight="1">
      <c r="A23" s="8"/>
      <c r="B23" s="9" t="s">
        <v>15</v>
      </c>
      <c r="C23" s="10">
        <v>145000000</v>
      </c>
    </row>
    <row r="24" spans="1:3" ht="24.75" customHeight="1">
      <c r="A24" s="8"/>
      <c r="B24" s="9" t="s">
        <v>102</v>
      </c>
      <c r="C24" s="10">
        <v>145000000</v>
      </c>
    </row>
    <row r="25" spans="1:6" ht="24.75" customHeight="1">
      <c r="A25" s="8"/>
      <c r="B25" s="9" t="s">
        <v>6</v>
      </c>
      <c r="C25" s="10">
        <f>2934839600+1080648400+806012000+16000000</f>
        <v>4837500000</v>
      </c>
      <c r="E25" s="77">
        <f>C22-4263465000</f>
        <v>2173535000</v>
      </c>
      <c r="F25" s="77">
        <f>3241465000-C26</f>
        <v>3236965000</v>
      </c>
    </row>
    <row r="26" spans="1:6" ht="24.75" customHeight="1">
      <c r="A26" s="8"/>
      <c r="B26" s="9" t="s">
        <v>24</v>
      </c>
      <c r="C26" s="10">
        <v>4500000</v>
      </c>
      <c r="F26" s="77">
        <f>C25+C26</f>
        <v>4842000000</v>
      </c>
    </row>
    <row r="27" spans="1:6" ht="24.75" customHeight="1">
      <c r="A27" s="8"/>
      <c r="B27" s="9" t="s">
        <v>81</v>
      </c>
      <c r="C27" s="10">
        <v>120620000</v>
      </c>
      <c r="F27" s="77" t="e">
        <f>C27+C28+C29+#REF!+C30+C31+C33+C34</f>
        <v>#REF!</v>
      </c>
    </row>
    <row r="28" spans="1:3" ht="24.75" customHeight="1">
      <c r="A28" s="8"/>
      <c r="B28" s="9" t="s">
        <v>86</v>
      </c>
      <c r="C28" s="10">
        <v>28200000</v>
      </c>
    </row>
    <row r="29" spans="1:11" ht="24.75" customHeight="1">
      <c r="A29" s="48"/>
      <c r="B29" s="21" t="s">
        <v>25</v>
      </c>
      <c r="C29" s="10">
        <v>296000000</v>
      </c>
      <c r="G29">
        <v>4800</v>
      </c>
      <c r="I29">
        <f>I28+G29-H29</f>
        <v>4800</v>
      </c>
      <c r="K29">
        <f>600*5</f>
        <v>3000</v>
      </c>
    </row>
    <row r="30" spans="1:9" ht="24.75" customHeight="1">
      <c r="A30" s="48"/>
      <c r="B30" s="21" t="s">
        <v>28</v>
      </c>
      <c r="C30" s="10">
        <v>106322000</v>
      </c>
      <c r="E30">
        <f>598.988+615.988+150</f>
        <v>1364.976</v>
      </c>
      <c r="G30">
        <v>2400</v>
      </c>
      <c r="I30" t="e">
        <f>#REF!+G30-H30</f>
        <v>#REF!</v>
      </c>
    </row>
    <row r="31" spans="1:9" ht="24.75" customHeight="1">
      <c r="A31" s="48"/>
      <c r="B31" s="21" t="s">
        <v>27</v>
      </c>
      <c r="C31" s="10">
        <v>24000000</v>
      </c>
      <c r="H31">
        <v>1800</v>
      </c>
      <c r="I31" t="e">
        <f>I30+G31-H31</f>
        <v>#REF!</v>
      </c>
    </row>
    <row r="32" spans="1:9" ht="24.75" customHeight="1">
      <c r="A32" s="48"/>
      <c r="B32" s="21" t="s">
        <v>26</v>
      </c>
      <c r="C32" s="10">
        <v>123100000</v>
      </c>
      <c r="H32">
        <v>3600</v>
      </c>
      <c r="I32" t="e">
        <f>I31+G32-H32</f>
        <v>#REF!</v>
      </c>
    </row>
    <row r="33" spans="1:9" ht="24.75" customHeight="1">
      <c r="A33" s="8"/>
      <c r="B33" s="9" t="s">
        <v>7</v>
      </c>
      <c r="C33" s="10">
        <v>544458000</v>
      </c>
      <c r="G33">
        <v>4800</v>
      </c>
      <c r="I33" t="e">
        <f>I31+G33-H33</f>
        <v>#REF!</v>
      </c>
    </row>
    <row r="34" spans="1:9" ht="24.75" customHeight="1">
      <c r="A34" s="8"/>
      <c r="B34" s="9" t="s">
        <v>8</v>
      </c>
      <c r="C34" s="10">
        <f>39300000+23000000</f>
        <v>62300000</v>
      </c>
      <c r="H34">
        <v>3600</v>
      </c>
      <c r="I34" t="e">
        <f>I33+G34-H34</f>
        <v>#REF!</v>
      </c>
    </row>
    <row r="35" spans="1:10" s="30" customFormat="1" ht="24.75" customHeight="1">
      <c r="A35" s="8"/>
      <c r="B35" s="9" t="s">
        <v>9</v>
      </c>
      <c r="C35" s="29">
        <v>0</v>
      </c>
      <c r="J35" s="30">
        <f>25/550</f>
        <v>0.045454545454545456</v>
      </c>
    </row>
    <row r="36" spans="1:10" ht="24.75" customHeight="1">
      <c r="A36" s="27" t="s">
        <v>34</v>
      </c>
      <c r="B36" s="28" t="s">
        <v>39</v>
      </c>
      <c r="C36" s="7"/>
      <c r="J36">
        <f>J35*10</f>
        <v>0.4545454545454546</v>
      </c>
    </row>
    <row r="37" spans="1:10" ht="24.75" customHeight="1">
      <c r="A37" s="8" t="s">
        <v>40</v>
      </c>
      <c r="B37" s="9" t="s">
        <v>21</v>
      </c>
      <c r="C37" s="10"/>
      <c r="J37">
        <f>3/550</f>
        <v>0.005454545454545455</v>
      </c>
    </row>
    <row r="38" spans="1:10" ht="24.75" customHeight="1">
      <c r="A38" s="8"/>
      <c r="B38" s="9" t="s">
        <v>70</v>
      </c>
      <c r="C38" s="10"/>
      <c r="J38">
        <f>J37*10</f>
        <v>0.05454545454545455</v>
      </c>
    </row>
    <row r="39" spans="1:10" ht="18.75" customHeight="1">
      <c r="A39" s="22"/>
      <c r="B39" s="23"/>
      <c r="J39">
        <f>15/550</f>
        <v>0.02727272727272727</v>
      </c>
    </row>
    <row r="40" spans="3:10" ht="16.5">
      <c r="C40" s="33" t="s">
        <v>59</v>
      </c>
      <c r="D40" s="40"/>
      <c r="E40" s="40"/>
      <c r="J40">
        <f>J39*10</f>
        <v>0.2727272727272727</v>
      </c>
    </row>
    <row r="41" spans="3:5" ht="21.75" customHeight="1">
      <c r="C41" s="11" t="s">
        <v>60</v>
      </c>
      <c r="D41" s="19"/>
      <c r="E41" s="19"/>
    </row>
    <row r="42" spans="3:5" ht="15.75">
      <c r="C42" s="36"/>
      <c r="D42" s="1"/>
      <c r="E42" s="1"/>
    </row>
    <row r="43" spans="3:5" ht="15.75">
      <c r="C43" s="36"/>
      <c r="D43" s="1"/>
      <c r="E43" s="1"/>
    </row>
    <row r="44" spans="3:5" ht="15.75">
      <c r="C44" s="36"/>
      <c r="D44" s="1"/>
      <c r="E44" s="1"/>
    </row>
    <row r="45" spans="3:5" ht="15.75">
      <c r="C45" s="36"/>
      <c r="D45" s="1"/>
      <c r="E45" s="1"/>
    </row>
    <row r="46" spans="3:5" ht="18.75">
      <c r="C46" s="100" t="s">
        <v>100</v>
      </c>
      <c r="D46" s="1"/>
      <c r="E46" s="1"/>
    </row>
    <row r="47" spans="3:5" ht="15.75">
      <c r="C47" s="36"/>
      <c r="D47" s="1"/>
      <c r="E47" s="1"/>
    </row>
    <row r="48" spans="3:5" ht="15.75">
      <c r="C48" s="36"/>
      <c r="D48" s="1"/>
      <c r="E48" s="1"/>
    </row>
    <row r="49" spans="3:5" ht="15.75">
      <c r="C49" s="36"/>
      <c r="D49" s="1"/>
      <c r="E49" s="1"/>
    </row>
    <row r="50" spans="3:5" ht="15.75">
      <c r="C50" s="36"/>
      <c r="D50" s="1"/>
      <c r="E50" s="1"/>
    </row>
    <row r="51" spans="3:5" ht="15.75">
      <c r="C51" s="36"/>
      <c r="D51" s="1"/>
      <c r="E51" s="1"/>
    </row>
    <row r="52" spans="2:5" ht="15.75">
      <c r="B52" s="59" t="s">
        <v>74</v>
      </c>
      <c r="C52" s="36"/>
      <c r="D52" s="1"/>
      <c r="E52" s="1"/>
    </row>
    <row r="53" spans="3:5" ht="15.75">
      <c r="C53" s="36"/>
      <c r="D53" s="1"/>
      <c r="E53" s="1"/>
    </row>
    <row r="54" spans="3:5" ht="15.75">
      <c r="C54" s="36"/>
      <c r="D54" s="1"/>
      <c r="E54" s="1"/>
    </row>
    <row r="55" spans="3:5" ht="15.75">
      <c r="C55" s="36"/>
      <c r="D55" s="1"/>
      <c r="E55" s="1"/>
    </row>
    <row r="56" spans="3:5" ht="16.5">
      <c r="C56" s="18"/>
      <c r="D56" s="41"/>
      <c r="E56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zoomScalePageLayoutView="0" workbookViewId="0" topLeftCell="A1">
      <selection activeCell="F18" sqref="F18:F26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14.296875" style="0" customWidth="1"/>
    <col min="5" max="5" width="11.09765625" style="0" customWidth="1"/>
    <col min="6" max="6" width="11.3984375" style="0" customWidth="1"/>
    <col min="7" max="7" width="15.69921875" style="101" customWidth="1"/>
    <col min="10" max="10" width="35.296875" style="0" customWidth="1"/>
    <col min="11" max="11" width="21.296875" style="0" customWidth="1"/>
    <col min="12" max="12" width="17.69921875" style="0" customWidth="1"/>
    <col min="14" max="14" width="10.09765625" style="0" bestFit="1" customWidth="1"/>
  </cols>
  <sheetData>
    <row r="1" spans="1:6" ht="23.25" customHeight="1">
      <c r="A1" s="19" t="s">
        <v>99</v>
      </c>
      <c r="B1" s="32"/>
      <c r="D1" s="155" t="s">
        <v>53</v>
      </c>
      <c r="E1" s="155"/>
      <c r="F1" s="155"/>
    </row>
    <row r="2" spans="1:6" ht="32.25" customHeight="1">
      <c r="A2" s="17" t="s">
        <v>79</v>
      </c>
      <c r="B2" s="38"/>
      <c r="D2" s="156" t="s">
        <v>30</v>
      </c>
      <c r="E2" s="156"/>
      <c r="F2" s="156"/>
    </row>
    <row r="3" spans="1:6" ht="22.5" customHeight="1">
      <c r="A3" s="157" t="s">
        <v>145</v>
      </c>
      <c r="B3" s="157"/>
      <c r="C3" s="157"/>
      <c r="D3" s="157"/>
      <c r="E3" s="157"/>
      <c r="F3" s="157"/>
    </row>
    <row r="4" spans="1:6" ht="16.5">
      <c r="A4" s="158" t="s">
        <v>64</v>
      </c>
      <c r="B4" s="158"/>
      <c r="C4" s="158"/>
      <c r="D4" s="158"/>
      <c r="E4" s="158"/>
      <c r="F4" s="158"/>
    </row>
    <row r="5" spans="1:5" ht="29.25" customHeight="1">
      <c r="A5" s="1"/>
      <c r="B5" s="1"/>
      <c r="E5" s="25" t="s">
        <v>11</v>
      </c>
    </row>
    <row r="6" spans="1:7" ht="27.75" customHeight="1">
      <c r="A6" s="153" t="s">
        <v>0</v>
      </c>
      <c r="B6" s="153" t="s">
        <v>54</v>
      </c>
      <c r="C6" s="163" t="s">
        <v>134</v>
      </c>
      <c r="D6" s="160" t="s">
        <v>146</v>
      </c>
      <c r="E6" s="161" t="s">
        <v>55</v>
      </c>
      <c r="F6" s="161"/>
      <c r="G6" s="110"/>
    </row>
    <row r="7" spans="1:11" ht="33.75" customHeight="1">
      <c r="A7" s="153"/>
      <c r="B7" s="153"/>
      <c r="C7" s="153"/>
      <c r="D7" s="160"/>
      <c r="E7" s="12" t="s">
        <v>56</v>
      </c>
      <c r="F7" s="37" t="s">
        <v>57</v>
      </c>
      <c r="G7" s="110"/>
      <c r="K7" s="76" t="e">
        <f>#REF!/#REF!</f>
        <v>#REF!</v>
      </c>
    </row>
    <row r="8" spans="1:11" ht="36.75" customHeight="1">
      <c r="A8" s="2" t="s">
        <v>2</v>
      </c>
      <c r="B8" s="3" t="s">
        <v>73</v>
      </c>
      <c r="C8" s="4"/>
      <c r="D8" s="4"/>
      <c r="E8" s="72"/>
      <c r="F8" s="72"/>
      <c r="J8" t="s">
        <v>23</v>
      </c>
      <c r="K8">
        <v>3592530000</v>
      </c>
    </row>
    <row r="9" spans="1:12" ht="24.75" customHeight="1">
      <c r="A9" s="5" t="s">
        <v>3</v>
      </c>
      <c r="B9" s="6" t="s">
        <v>72</v>
      </c>
      <c r="C9" s="7">
        <f>C10</f>
        <v>1463270000</v>
      </c>
      <c r="D9" s="7">
        <f>D10</f>
        <v>1504862861</v>
      </c>
      <c r="E9" s="70">
        <f>E10</f>
        <v>1.0284245976477342</v>
      </c>
      <c r="F9" s="70">
        <f>F10</f>
        <v>1.02</v>
      </c>
      <c r="G9" s="101">
        <f>4477837212-D9</f>
        <v>2972974351</v>
      </c>
      <c r="J9" t="s">
        <v>62</v>
      </c>
      <c r="L9" t="e">
        <f>#REF!/223000000</f>
        <v>#REF!</v>
      </c>
    </row>
    <row r="10" spans="1:11" ht="24.75" customHeight="1">
      <c r="A10" s="5">
        <v>1</v>
      </c>
      <c r="B10" s="6" t="s">
        <v>37</v>
      </c>
      <c r="C10" s="7">
        <f>C11+C31+C32+C34</f>
        <v>1463270000</v>
      </c>
      <c r="D10" s="7">
        <f>D11+D31+D32+D34</f>
        <v>1504862861</v>
      </c>
      <c r="E10" s="70">
        <f aca="true" t="shared" si="0" ref="E10:E15">D10/C10</f>
        <v>1.0284245976477342</v>
      </c>
      <c r="F10" s="70">
        <v>1.02</v>
      </c>
      <c r="G10" s="101">
        <v>7019900000</v>
      </c>
      <c r="J10" t="s">
        <v>12</v>
      </c>
      <c r="K10">
        <v>2733057100</v>
      </c>
    </row>
    <row r="11" spans="1:12" ht="24.75" customHeight="1">
      <c r="A11" s="27" t="s">
        <v>32</v>
      </c>
      <c r="B11" s="28" t="s">
        <v>38</v>
      </c>
      <c r="C11" s="29">
        <f>C12+C17+C27+C29</f>
        <v>1463270000</v>
      </c>
      <c r="D11" s="29">
        <f>D12+D17+D27+D29</f>
        <v>1504862861</v>
      </c>
      <c r="E11" s="67">
        <f t="shared" si="0"/>
        <v>1.0284245976477342</v>
      </c>
      <c r="F11" s="67">
        <v>1.03</v>
      </c>
      <c r="G11" s="29">
        <f>G12+G17+G27+G29</f>
        <v>1341571190</v>
      </c>
      <c r="H11" s="76">
        <f aca="true" t="shared" si="1" ref="H11:H21">D11/C11</f>
        <v>1.0284245976477342</v>
      </c>
      <c r="J11" t="s">
        <v>63</v>
      </c>
      <c r="K11">
        <v>4665465000</v>
      </c>
      <c r="L11" s="77" t="e">
        <f>K11-#REF!</f>
        <v>#REF!</v>
      </c>
    </row>
    <row r="12" spans="1:10" ht="24.75" customHeight="1">
      <c r="A12" s="103" t="s">
        <v>40</v>
      </c>
      <c r="B12" s="28" t="s">
        <v>6</v>
      </c>
      <c r="C12" s="29">
        <f>SUM(C13:C16)</f>
        <v>1205375000</v>
      </c>
      <c r="D12" s="29">
        <f>SUM(D13:D16)</f>
        <v>1204351809</v>
      </c>
      <c r="E12" s="67">
        <f t="shared" si="0"/>
        <v>0.9991511430052888</v>
      </c>
      <c r="F12" s="112">
        <v>1.02</v>
      </c>
      <c r="G12" s="101">
        <f>G13+G14+G15+G16</f>
        <v>1117957814</v>
      </c>
      <c r="H12" s="76">
        <f t="shared" si="1"/>
        <v>0.9991511430052888</v>
      </c>
      <c r="J12" t="s">
        <v>33</v>
      </c>
    </row>
    <row r="13" spans="1:12" ht="24.75" customHeight="1">
      <c r="A13" s="8">
        <v>6000</v>
      </c>
      <c r="B13" s="9" t="s">
        <v>106</v>
      </c>
      <c r="C13" s="10">
        <v>733710000</v>
      </c>
      <c r="D13" s="75">
        <v>780553932</v>
      </c>
      <c r="E13" s="67">
        <f>D13/C13</f>
        <v>1.0638452958253262</v>
      </c>
      <c r="F13" s="112">
        <f>D13/G13</f>
        <v>1.2400162959132466</v>
      </c>
      <c r="G13" s="75">
        <f>485457958+120497717+23515030</f>
        <v>629470705</v>
      </c>
      <c r="H13" s="76">
        <f t="shared" si="1"/>
        <v>1.0638452958253262</v>
      </c>
      <c r="J13" t="s">
        <v>35</v>
      </c>
      <c r="K13" s="113">
        <f>D13+'CK DT Quy I-2018'!D13</f>
        <v>1437092631</v>
      </c>
      <c r="L13" s="77" t="e">
        <f>K13-#REF!</f>
        <v>#REF!</v>
      </c>
    </row>
    <row r="14" spans="1:11" ht="24.75" customHeight="1">
      <c r="A14" s="8">
        <v>6100</v>
      </c>
      <c r="B14" s="9" t="s">
        <v>107</v>
      </c>
      <c r="C14" s="10">
        <v>270162000</v>
      </c>
      <c r="D14" s="75">
        <v>212459225</v>
      </c>
      <c r="E14" s="67">
        <f t="shared" si="0"/>
        <v>0.7864141700165086</v>
      </c>
      <c r="F14" s="112">
        <f>D14/G14</f>
        <v>1.0838534885729127</v>
      </c>
      <c r="G14" s="75">
        <f>6672000+159702840+556000+29091249</f>
        <v>196022089</v>
      </c>
      <c r="H14" s="76">
        <f t="shared" si="1"/>
        <v>0.7864141700165086</v>
      </c>
      <c r="J14" t="s">
        <v>62</v>
      </c>
      <c r="K14" s="113">
        <f>D14+'CK DT Quy I-2018'!D14</f>
        <v>388808526</v>
      </c>
    </row>
    <row r="15" spans="1:11" ht="24.75" customHeight="1">
      <c r="A15" s="8">
        <v>6300</v>
      </c>
      <c r="B15" s="21" t="s">
        <v>108</v>
      </c>
      <c r="C15" s="10">
        <v>201503000</v>
      </c>
      <c r="D15" s="75">
        <v>211338652</v>
      </c>
      <c r="E15" s="67">
        <f t="shared" si="0"/>
        <v>1.0488114420132704</v>
      </c>
      <c r="F15" s="112">
        <f>D15/G15</f>
        <v>0.7226117229335666</v>
      </c>
      <c r="G15" s="75">
        <f>228582613+34576394+17854818+11451195</f>
        <v>292465020</v>
      </c>
      <c r="H15" s="76">
        <f t="shared" si="1"/>
        <v>1.0488114420132704</v>
      </c>
      <c r="J15" t="s">
        <v>12</v>
      </c>
      <c r="K15" s="113">
        <f>D15+'CK DT Quy I-2018'!D15</f>
        <v>508676834</v>
      </c>
    </row>
    <row r="16" spans="1:11" ht="24.75" customHeight="1">
      <c r="A16" s="8">
        <v>6404</v>
      </c>
      <c r="B16" s="21" t="s">
        <v>114</v>
      </c>
      <c r="C16" s="10"/>
      <c r="D16" s="75"/>
      <c r="E16" s="67"/>
      <c r="F16" s="112"/>
      <c r="G16" s="75"/>
      <c r="H16" s="76" t="e">
        <f>D16/C16</f>
        <v>#DIV/0!</v>
      </c>
      <c r="J16" t="s">
        <v>12</v>
      </c>
      <c r="K16" s="113">
        <f>D16+'CK DT Quy I-2018'!D17</f>
        <v>0</v>
      </c>
    </row>
    <row r="17" spans="1:10" ht="24.75" customHeight="1">
      <c r="A17" s="103" t="s">
        <v>40</v>
      </c>
      <c r="B17" s="104" t="s">
        <v>109</v>
      </c>
      <c r="C17" s="29">
        <f>SUM(C18:C26)</f>
        <v>252895000</v>
      </c>
      <c r="D17" s="29">
        <f>SUM(D18:D26)</f>
        <v>279511052</v>
      </c>
      <c r="E17" s="67">
        <f>D17/C17</f>
        <v>1.105245465509401</v>
      </c>
      <c r="F17" s="112">
        <f>D17/G17</f>
        <v>1.2499746526790956</v>
      </c>
      <c r="G17" s="29">
        <f>SUM(G18:G26)</f>
        <v>223613376</v>
      </c>
      <c r="H17" s="76">
        <f t="shared" si="1"/>
        <v>1.105245465509401</v>
      </c>
      <c r="J17" t="s">
        <v>20</v>
      </c>
    </row>
    <row r="18" spans="1:10" ht="24.75" customHeight="1">
      <c r="A18" s="8">
        <v>6500</v>
      </c>
      <c r="B18" s="21" t="s">
        <v>25</v>
      </c>
      <c r="C18" s="10">
        <v>67273000</v>
      </c>
      <c r="D18" s="75">
        <v>69648116</v>
      </c>
      <c r="E18" s="67">
        <f>D18/C18</f>
        <v>1.0353056352474246</v>
      </c>
      <c r="F18" s="112">
        <f>D18/G18</f>
        <v>1.6260086428957772</v>
      </c>
      <c r="G18" s="75">
        <f>34658896+686896+7488000</f>
        <v>42833792</v>
      </c>
      <c r="H18" s="76">
        <f t="shared" si="1"/>
        <v>1.0353056352474246</v>
      </c>
      <c r="J18" t="s">
        <v>37</v>
      </c>
    </row>
    <row r="19" spans="1:11" ht="24.75" customHeight="1">
      <c r="A19" s="8">
        <v>6550</v>
      </c>
      <c r="B19" s="21" t="s">
        <v>110</v>
      </c>
      <c r="C19" s="10">
        <v>30000000</v>
      </c>
      <c r="D19" s="75">
        <v>6920000</v>
      </c>
      <c r="E19" s="67">
        <f>D19/C19</f>
        <v>0.23066666666666666</v>
      </c>
      <c r="F19" s="112">
        <f>D19/G19</f>
        <v>0.08500915199685516</v>
      </c>
      <c r="G19" s="75">
        <f>81403000</f>
        <v>81403000</v>
      </c>
      <c r="H19" s="76">
        <f t="shared" si="1"/>
        <v>0.23066666666666666</v>
      </c>
      <c r="J19" t="s">
        <v>38</v>
      </c>
      <c r="K19">
        <v>6558440000</v>
      </c>
    </row>
    <row r="20" spans="1:10" ht="24.75" customHeight="1">
      <c r="A20" s="8">
        <v>6600</v>
      </c>
      <c r="B20" s="21" t="s">
        <v>115</v>
      </c>
      <c r="C20" s="10">
        <v>15000000</v>
      </c>
      <c r="D20" s="75">
        <v>1768936</v>
      </c>
      <c r="E20" s="67">
        <f>D20/C20</f>
        <v>0.11792906666666667</v>
      </c>
      <c r="F20" s="112">
        <f>D20/G20</f>
        <v>0.9229629382275966</v>
      </c>
      <c r="G20" s="75">
        <f>530584+1386000</f>
        <v>1916584</v>
      </c>
      <c r="H20" s="76">
        <f t="shared" si="1"/>
        <v>0.11792906666666667</v>
      </c>
      <c r="J20" t="s">
        <v>15</v>
      </c>
    </row>
    <row r="21" spans="1:11" ht="24.75" customHeight="1">
      <c r="A21" s="8">
        <v>6650</v>
      </c>
      <c r="B21" s="9" t="s">
        <v>86</v>
      </c>
      <c r="C21" s="10">
        <v>6304000</v>
      </c>
      <c r="D21" s="75"/>
      <c r="E21" s="67"/>
      <c r="F21" s="112"/>
      <c r="G21" s="75"/>
      <c r="H21" s="76">
        <f t="shared" si="1"/>
        <v>0</v>
      </c>
      <c r="J21" t="s">
        <v>6</v>
      </c>
      <c r="K21">
        <v>4621176495</v>
      </c>
    </row>
    <row r="22" spans="1:8" ht="24.75" customHeight="1">
      <c r="A22" s="8">
        <v>6700</v>
      </c>
      <c r="B22" s="9" t="s">
        <v>111</v>
      </c>
      <c r="C22" s="10">
        <v>5000000</v>
      </c>
      <c r="D22" s="75">
        <v>6000000</v>
      </c>
      <c r="E22" s="67">
        <f>D22/C22</f>
        <v>1.2</v>
      </c>
      <c r="F22" s="112">
        <f>D22/G22</f>
        <v>0.1111111111111111</v>
      </c>
      <c r="G22" s="75">
        <v>54000000</v>
      </c>
      <c r="H22" s="76"/>
    </row>
    <row r="23" spans="1:8" ht="24.75" customHeight="1">
      <c r="A23" s="8">
        <v>6750</v>
      </c>
      <c r="B23" s="9" t="s">
        <v>135</v>
      </c>
      <c r="C23" s="10">
        <v>30775000</v>
      </c>
      <c r="D23" s="75"/>
      <c r="E23" s="67"/>
      <c r="F23" s="67"/>
      <c r="G23" s="75"/>
      <c r="H23" s="76"/>
    </row>
    <row r="24" spans="1:10" ht="24.75" customHeight="1">
      <c r="A24" s="8">
        <v>6900</v>
      </c>
      <c r="B24" s="9" t="s">
        <v>123</v>
      </c>
      <c r="C24" s="10">
        <v>8543000</v>
      </c>
      <c r="D24" s="75">
        <v>9690000</v>
      </c>
      <c r="E24" s="67">
        <f>D24/C24</f>
        <v>1.134261968863397</v>
      </c>
      <c r="F24" s="112"/>
      <c r="G24" s="75"/>
      <c r="H24" s="76"/>
      <c r="J24" s="77">
        <f>278000000-C19</f>
        <v>248000000</v>
      </c>
    </row>
    <row r="25" spans="1:10" ht="24.75" customHeight="1">
      <c r="A25" s="8">
        <v>6950</v>
      </c>
      <c r="B25" s="9" t="s">
        <v>144</v>
      </c>
      <c r="C25" s="10"/>
      <c r="D25" s="75">
        <v>41760000</v>
      </c>
      <c r="E25" s="67"/>
      <c r="F25" s="112"/>
      <c r="G25" s="75"/>
      <c r="H25" s="76"/>
      <c r="J25" s="77"/>
    </row>
    <row r="26" spans="1:8" ht="24.75" customHeight="1">
      <c r="A26" s="8">
        <v>7000</v>
      </c>
      <c r="B26" s="9" t="s">
        <v>112</v>
      </c>
      <c r="C26" s="10">
        <v>90000000</v>
      </c>
      <c r="D26" s="75">
        <v>143724000</v>
      </c>
      <c r="E26" s="67">
        <f>D26/C26</f>
        <v>1.5969333333333333</v>
      </c>
      <c r="F26" s="112">
        <f>D26/G26</f>
        <v>3.307040957202025</v>
      </c>
      <c r="G26" s="75">
        <f>43460000</f>
        <v>43460000</v>
      </c>
      <c r="H26" s="76"/>
    </row>
    <row r="27" spans="1:8" ht="24.75" customHeight="1">
      <c r="A27" s="103" t="s">
        <v>40</v>
      </c>
      <c r="B27" s="28" t="s">
        <v>8</v>
      </c>
      <c r="C27" s="29">
        <f>C28</f>
        <v>5000000</v>
      </c>
      <c r="D27" s="29">
        <f>D28</f>
        <v>7000000</v>
      </c>
      <c r="E27" s="67"/>
      <c r="F27" s="67"/>
      <c r="G27" s="29">
        <f>G28</f>
        <v>0</v>
      </c>
      <c r="H27" s="76"/>
    </row>
    <row r="28" spans="1:8" ht="24.75" customHeight="1">
      <c r="A28" s="8">
        <v>7050</v>
      </c>
      <c r="B28" s="9" t="s">
        <v>116</v>
      </c>
      <c r="C28" s="10">
        <v>5000000</v>
      </c>
      <c r="D28" s="75">
        <v>7000000</v>
      </c>
      <c r="E28" s="67">
        <f>D28/C28</f>
        <v>1.4</v>
      </c>
      <c r="F28" s="67"/>
      <c r="G28" s="75"/>
      <c r="H28" s="76"/>
    </row>
    <row r="29" spans="1:8" ht="24.75" customHeight="1">
      <c r="A29" s="103" t="s">
        <v>40</v>
      </c>
      <c r="B29" s="28" t="s">
        <v>9</v>
      </c>
      <c r="C29" s="29">
        <f>C30</f>
        <v>0</v>
      </c>
      <c r="D29" s="29">
        <f>D30</f>
        <v>14000000</v>
      </c>
      <c r="E29" s="67"/>
      <c r="F29" s="67"/>
      <c r="G29" s="109"/>
      <c r="H29" s="76"/>
    </row>
    <row r="30" spans="1:8" ht="37.5" customHeight="1">
      <c r="A30" s="8">
        <v>7750</v>
      </c>
      <c r="B30" s="9" t="s">
        <v>9</v>
      </c>
      <c r="C30" s="10"/>
      <c r="D30" s="75">
        <v>14000000</v>
      </c>
      <c r="E30" s="67"/>
      <c r="F30" s="67"/>
      <c r="G30" s="75"/>
      <c r="H30" s="76"/>
    </row>
    <row r="31" spans="1:8" ht="34.5" customHeight="1">
      <c r="A31" s="27">
        <v>1.2</v>
      </c>
      <c r="B31" s="28" t="s">
        <v>117</v>
      </c>
      <c r="C31" s="29"/>
      <c r="D31" s="109"/>
      <c r="E31" s="67"/>
      <c r="F31" s="67"/>
      <c r="G31" s="75"/>
      <c r="H31" s="76"/>
    </row>
    <row r="32" spans="1:8" ht="35.25" customHeight="1">
      <c r="A32" s="27">
        <v>1.3</v>
      </c>
      <c r="B32" s="28" t="s">
        <v>119</v>
      </c>
      <c r="C32" s="29">
        <f>C33</f>
        <v>0</v>
      </c>
      <c r="D32" s="109">
        <f>D33</f>
        <v>0</v>
      </c>
      <c r="E32" s="67"/>
      <c r="F32" s="67"/>
      <c r="G32" s="29">
        <f>G34</f>
        <v>0</v>
      </c>
      <c r="H32" s="76"/>
    </row>
    <row r="33" spans="1:8" ht="24.75" customHeight="1">
      <c r="A33" s="8">
        <v>7000</v>
      </c>
      <c r="B33" s="9" t="s">
        <v>112</v>
      </c>
      <c r="C33" s="126"/>
      <c r="D33" s="75"/>
      <c r="E33" s="67"/>
      <c r="F33" s="67"/>
      <c r="G33" s="75"/>
      <c r="H33" s="76"/>
    </row>
    <row r="34" spans="1:8" ht="24.75" customHeight="1">
      <c r="A34" s="27">
        <v>1.4</v>
      </c>
      <c r="B34" s="28" t="s">
        <v>118</v>
      </c>
      <c r="C34" s="29">
        <f>C38</f>
        <v>0</v>
      </c>
      <c r="D34" s="29">
        <f>SUM(D35:D37)</f>
        <v>0</v>
      </c>
      <c r="E34" s="67"/>
      <c r="F34" s="67"/>
      <c r="G34" s="92"/>
      <c r="H34" s="76"/>
    </row>
    <row r="35" spans="1:8" ht="24.75" customHeight="1">
      <c r="A35" s="8">
        <v>6000</v>
      </c>
      <c r="B35" s="9" t="s">
        <v>106</v>
      </c>
      <c r="C35" s="29"/>
      <c r="D35" s="117"/>
      <c r="E35" s="67"/>
      <c r="F35" s="67"/>
      <c r="H35" s="76"/>
    </row>
    <row r="36" spans="1:8" ht="24.75" customHeight="1">
      <c r="A36" s="118">
        <v>6100</v>
      </c>
      <c r="B36" s="119" t="s">
        <v>107</v>
      </c>
      <c r="C36" s="29"/>
      <c r="D36" s="117"/>
      <c r="E36" s="122"/>
      <c r="F36" s="122"/>
      <c r="H36" s="76"/>
    </row>
    <row r="37" spans="1:11" ht="24.75" customHeight="1">
      <c r="A37" s="8">
        <v>6300</v>
      </c>
      <c r="B37" s="9" t="s">
        <v>108</v>
      </c>
      <c r="C37" s="29"/>
      <c r="D37" s="117"/>
      <c r="E37" s="67"/>
      <c r="F37" s="67"/>
      <c r="H37" s="76"/>
      <c r="J37" t="s">
        <v>8</v>
      </c>
      <c r="K37">
        <v>93040000</v>
      </c>
    </row>
    <row r="38" spans="1:8" ht="24.75" customHeight="1">
      <c r="A38" s="22"/>
      <c r="B38" s="23"/>
      <c r="C38" s="123"/>
      <c r="D38" s="124"/>
      <c r="E38" s="125"/>
      <c r="F38" s="125"/>
      <c r="H38" s="76"/>
    </row>
    <row r="39" spans="4:10" ht="16.5">
      <c r="D39" s="154" t="s">
        <v>105</v>
      </c>
      <c r="E39" s="154"/>
      <c r="F39" s="154"/>
      <c r="J39" t="s">
        <v>9</v>
      </c>
    </row>
    <row r="40" spans="4:6" ht="15.75">
      <c r="D40" s="157" t="s">
        <v>60</v>
      </c>
      <c r="E40" s="157"/>
      <c r="F40" s="157"/>
    </row>
    <row r="41" spans="4:6" ht="15.75">
      <c r="D41" s="1"/>
      <c r="E41" s="1"/>
      <c r="F41" s="1"/>
    </row>
    <row r="42" spans="4:6" ht="15.75">
      <c r="D42" s="1"/>
      <c r="E42" s="1"/>
      <c r="F42" s="1"/>
    </row>
    <row r="43" spans="4:6" ht="15.75">
      <c r="D43" s="1"/>
      <c r="E43" s="1"/>
      <c r="F43" s="1"/>
    </row>
    <row r="44" spans="4:6" ht="15.75">
      <c r="D44" s="1"/>
      <c r="E44" s="1"/>
      <c r="F44" s="1"/>
    </row>
    <row r="45" spans="4:6" ht="15.75">
      <c r="D45" s="162" t="s">
        <v>100</v>
      </c>
      <c r="E45" s="162"/>
      <c r="F45" s="162"/>
    </row>
    <row r="46" spans="2:6" ht="15.75">
      <c r="B46" s="59" t="s">
        <v>76</v>
      </c>
      <c r="D46" s="1"/>
      <c r="E46" s="1"/>
      <c r="F46" s="1"/>
    </row>
    <row r="47" spans="2:6" ht="23.25" customHeight="1">
      <c r="B47" s="61" t="s">
        <v>75</v>
      </c>
      <c r="D47" s="1"/>
      <c r="E47" s="1"/>
      <c r="F47" s="1"/>
    </row>
    <row r="48" spans="2:7" ht="21.75" customHeight="1">
      <c r="B48" s="61" t="s">
        <v>77</v>
      </c>
      <c r="C48" s="1"/>
      <c r="D48" s="1"/>
      <c r="E48" s="1"/>
      <c r="F48" s="1"/>
      <c r="G48" s="110"/>
    </row>
    <row r="49" spans="4:6" ht="15.75">
      <c r="D49" s="1"/>
      <c r="E49" s="1"/>
      <c r="F49" s="1"/>
    </row>
    <row r="50" spans="1:12" s="101" customFormat="1" ht="16.5">
      <c r="A50"/>
      <c r="B50"/>
      <c r="C50"/>
      <c r="D50" s="159"/>
      <c r="E50" s="159"/>
      <c r="F50" s="159"/>
      <c r="H50"/>
      <c r="I50"/>
      <c r="J50"/>
      <c r="K50"/>
      <c r="L50"/>
    </row>
    <row r="51" spans="1:12" s="101" customFormat="1" ht="15.75">
      <c r="A51"/>
      <c r="B51"/>
      <c r="C51"/>
      <c r="D51" s="1"/>
      <c r="E51" s="1"/>
      <c r="F51" s="1"/>
      <c r="H51"/>
      <c r="I51"/>
      <c r="J51"/>
      <c r="K51"/>
      <c r="L51"/>
    </row>
  </sheetData>
  <sheetProtection/>
  <mergeCells count="13">
    <mergeCell ref="D39:F39"/>
    <mergeCell ref="D40:F40"/>
    <mergeCell ref="D45:F45"/>
    <mergeCell ref="D50:F50"/>
    <mergeCell ref="D1:F1"/>
    <mergeCell ref="D2:F2"/>
    <mergeCell ref="A3:F3"/>
    <mergeCell ref="A4:F4"/>
    <mergeCell ref="A6:A7"/>
    <mergeCell ref="B6:B7"/>
    <mergeCell ref="C6:C7"/>
    <mergeCell ref="D6:D7"/>
    <mergeCell ref="E6:F6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zoomScalePageLayoutView="0" workbookViewId="0" topLeftCell="A1">
      <selection activeCell="F12" sqref="F12"/>
    </sheetView>
  </sheetViews>
  <sheetFormatPr defaultColWidth="8.796875" defaultRowHeight="15"/>
  <cols>
    <col min="1" max="1" width="8.09765625" style="0" customWidth="1"/>
    <col min="2" max="2" width="38.69921875" style="0" customWidth="1"/>
    <col min="3" max="3" width="19" style="0" customWidth="1"/>
    <col min="4" max="4" width="20.796875" style="0" customWidth="1"/>
    <col min="6" max="6" width="14.09765625" style="0" bestFit="1" customWidth="1"/>
  </cols>
  <sheetData>
    <row r="1" spans="1:4" ht="23.25" customHeight="1">
      <c r="A1" s="19" t="s">
        <v>99</v>
      </c>
      <c r="B1" s="32"/>
      <c r="D1" s="35"/>
    </row>
    <row r="2" spans="1:4" ht="32.25" customHeight="1">
      <c r="A2" s="17" t="s">
        <v>79</v>
      </c>
      <c r="B2" s="38"/>
      <c r="D2" s="26"/>
    </row>
    <row r="3" spans="1:4" ht="43.5" customHeight="1">
      <c r="A3" s="181" t="s">
        <v>126</v>
      </c>
      <c r="B3" s="164"/>
      <c r="C3" s="164"/>
      <c r="D3" s="164"/>
    </row>
    <row r="4" spans="1:4" ht="29.25" customHeight="1">
      <c r="A4" s="1"/>
      <c r="B4" s="1"/>
      <c r="D4" s="25" t="s">
        <v>11</v>
      </c>
    </row>
    <row r="5" spans="1:4" ht="27.75" customHeight="1">
      <c r="A5" s="153" t="s">
        <v>0</v>
      </c>
      <c r="B5" s="153" t="s">
        <v>54</v>
      </c>
      <c r="C5" s="163" t="s">
        <v>92</v>
      </c>
      <c r="D5" s="160" t="s">
        <v>125</v>
      </c>
    </row>
    <row r="6" spans="1:4" ht="33.75" customHeight="1">
      <c r="A6" s="153"/>
      <c r="B6" s="153"/>
      <c r="C6" s="153"/>
      <c r="D6" s="160"/>
    </row>
    <row r="7" spans="1:4" ht="36.75" customHeight="1">
      <c r="A7" s="2" t="s">
        <v>2</v>
      </c>
      <c r="B7" s="3" t="s">
        <v>73</v>
      </c>
      <c r="C7" s="4"/>
      <c r="D7" s="4"/>
    </row>
    <row r="8" spans="1:4" ht="24.75" customHeight="1">
      <c r="A8" s="5" t="s">
        <v>3</v>
      </c>
      <c r="B8" s="6" t="s">
        <v>72</v>
      </c>
      <c r="C8" s="7">
        <f>C9</f>
        <v>7464000000</v>
      </c>
      <c r="D8" s="7">
        <f>D9</f>
        <v>6111976049</v>
      </c>
    </row>
    <row r="9" spans="1:4" ht="24.75" customHeight="1">
      <c r="A9" s="5">
        <v>1</v>
      </c>
      <c r="B9" s="6" t="s">
        <v>37</v>
      </c>
      <c r="C9" s="7">
        <f>C10+C28+C29+C31</f>
        <v>7464000000</v>
      </c>
      <c r="D9" s="7">
        <f>D10+D28+D29+D31</f>
        <v>6111976049</v>
      </c>
    </row>
    <row r="10" spans="1:4" ht="24.75" customHeight="1">
      <c r="A10" s="27" t="s">
        <v>32</v>
      </c>
      <c r="B10" s="28" t="s">
        <v>38</v>
      </c>
      <c r="C10" s="29">
        <f>C11+C17+C24+C26</f>
        <v>6902000000</v>
      </c>
      <c r="D10" s="29">
        <f>D11+D17+D24+D26</f>
        <v>5770808402</v>
      </c>
    </row>
    <row r="11" spans="1:4" ht="24.75" customHeight="1">
      <c r="A11" s="103" t="s">
        <v>40</v>
      </c>
      <c r="B11" s="28" t="s">
        <v>6</v>
      </c>
      <c r="C11" s="29">
        <f>SUM(C12:C16)</f>
        <v>5062822000</v>
      </c>
      <c r="D11" s="29">
        <f>SUM(D12:D16)</f>
        <v>3518082183</v>
      </c>
    </row>
    <row r="12" spans="1:6" ht="24.75" customHeight="1">
      <c r="A12" s="8">
        <v>6000</v>
      </c>
      <c r="B12" s="9" t="s">
        <v>106</v>
      </c>
      <c r="C12" s="10">
        <f>2594135000-167000000-10000000</f>
        <v>2417135000</v>
      </c>
      <c r="D12" s="75">
        <v>1638641110</v>
      </c>
      <c r="F12" s="113">
        <f>D12+D13</f>
        <v>2142808602</v>
      </c>
    </row>
    <row r="13" spans="1:4" ht="24.75" customHeight="1">
      <c r="A13" s="8">
        <v>6050</v>
      </c>
      <c r="B13" s="9" t="s">
        <v>113</v>
      </c>
      <c r="C13" s="10">
        <v>826917000</v>
      </c>
      <c r="D13" s="75">
        <f>425255692+78911800</f>
        <v>504167492</v>
      </c>
    </row>
    <row r="14" spans="1:4" ht="24.75" customHeight="1">
      <c r="A14" s="8">
        <v>6100</v>
      </c>
      <c r="B14" s="9" t="s">
        <v>107</v>
      </c>
      <c r="C14" s="10">
        <f>1029176300+10000000</f>
        <v>1039176300</v>
      </c>
      <c r="D14" s="75">
        <f>23117000+597257080+2116000+108341196</f>
        <v>730831276</v>
      </c>
    </row>
    <row r="15" spans="1:4" ht="24.75" customHeight="1">
      <c r="A15" s="8">
        <v>6300</v>
      </c>
      <c r="B15" s="21" t="s">
        <v>108</v>
      </c>
      <c r="C15" s="10">
        <v>779593700</v>
      </c>
      <c r="D15" s="75">
        <f>490681495+77850487+50167765+25742558</f>
        <v>644442305</v>
      </c>
    </row>
    <row r="16" spans="1:4" ht="24.75" customHeight="1">
      <c r="A16" s="8">
        <v>6404</v>
      </c>
      <c r="B16" s="21" t="s">
        <v>114</v>
      </c>
      <c r="C16" s="10"/>
      <c r="D16" s="75"/>
    </row>
    <row r="17" spans="1:4" ht="24.75" customHeight="1">
      <c r="A17" s="103" t="s">
        <v>40</v>
      </c>
      <c r="B17" s="104" t="s">
        <v>109</v>
      </c>
      <c r="C17" s="29">
        <f>SUM(C18:C23)</f>
        <v>1832182000</v>
      </c>
      <c r="D17" s="29">
        <f>SUM(D18:D23)</f>
        <v>2252726219</v>
      </c>
    </row>
    <row r="18" spans="1:4" ht="24.75" customHeight="1">
      <c r="A18" s="8">
        <v>6500</v>
      </c>
      <c r="B18" s="21" t="s">
        <v>25</v>
      </c>
      <c r="C18" s="10">
        <v>138000000</v>
      </c>
      <c r="D18" s="75">
        <f>73493910+2552963+7488000</f>
        <v>83534873</v>
      </c>
    </row>
    <row r="19" spans="1:4" ht="24.75" customHeight="1">
      <c r="A19" s="8">
        <v>6550</v>
      </c>
      <c r="B19" s="21" t="s">
        <v>110</v>
      </c>
      <c r="C19" s="10">
        <v>175760000</v>
      </c>
      <c r="D19" s="115">
        <f>156039000+81403000</f>
        <v>237442000</v>
      </c>
    </row>
    <row r="20" spans="1:4" ht="24.75" customHeight="1">
      <c r="A20" s="8">
        <v>6600</v>
      </c>
      <c r="B20" s="21" t="s">
        <v>115</v>
      </c>
      <c r="C20" s="10">
        <v>39600000</v>
      </c>
      <c r="D20" s="75">
        <f>1842846+3973200</f>
        <v>5816046</v>
      </c>
    </row>
    <row r="21" spans="1:4" ht="24.75" customHeight="1">
      <c r="A21" s="8">
        <v>6700</v>
      </c>
      <c r="B21" s="9" t="s">
        <v>111</v>
      </c>
      <c r="C21" s="10">
        <v>22200000</v>
      </c>
      <c r="D21" s="75">
        <v>16150000</v>
      </c>
    </row>
    <row r="22" spans="1:4" ht="24.75" customHeight="1">
      <c r="A22" s="8">
        <v>6900</v>
      </c>
      <c r="B22" s="9" t="s">
        <v>123</v>
      </c>
      <c r="C22" s="10">
        <v>26000000</v>
      </c>
      <c r="D22" s="75"/>
    </row>
    <row r="23" spans="1:4" ht="24.75" customHeight="1">
      <c r="A23" s="8">
        <v>7000</v>
      </c>
      <c r="B23" s="9" t="s">
        <v>112</v>
      </c>
      <c r="C23" s="10">
        <v>1430622000</v>
      </c>
      <c r="D23" s="75">
        <v>1909783300</v>
      </c>
    </row>
    <row r="24" spans="1:4" ht="24.75" customHeight="1">
      <c r="A24" s="103" t="s">
        <v>40</v>
      </c>
      <c r="B24" s="28" t="s">
        <v>8</v>
      </c>
      <c r="C24" s="29">
        <f>C25</f>
        <v>0</v>
      </c>
      <c r="D24" s="29">
        <f>D25</f>
        <v>0</v>
      </c>
    </row>
    <row r="25" spans="1:4" ht="24.75" customHeight="1">
      <c r="A25" s="8">
        <v>7050</v>
      </c>
      <c r="B25" s="9" t="s">
        <v>116</v>
      </c>
      <c r="C25" s="10"/>
      <c r="D25" s="75"/>
    </row>
    <row r="26" spans="1:4" ht="24.75" customHeight="1">
      <c r="A26" s="103" t="s">
        <v>40</v>
      </c>
      <c r="B26" s="28" t="s">
        <v>9</v>
      </c>
      <c r="C26" s="29">
        <f>C27</f>
        <v>6996000</v>
      </c>
      <c r="D26" s="29">
        <f>D27</f>
        <v>0</v>
      </c>
    </row>
    <row r="27" spans="1:4" ht="24.75" customHeight="1">
      <c r="A27" s="8">
        <v>7750</v>
      </c>
      <c r="B27" s="9" t="s">
        <v>9</v>
      </c>
      <c r="C27" s="10">
        <v>6996000</v>
      </c>
      <c r="D27" s="75"/>
    </row>
    <row r="28" spans="1:4" ht="37.5" customHeight="1">
      <c r="A28" s="27">
        <v>1.2</v>
      </c>
      <c r="B28" s="28" t="s">
        <v>117</v>
      </c>
      <c r="C28" s="29">
        <v>167000000</v>
      </c>
      <c r="D28" s="109"/>
    </row>
    <row r="29" spans="1:4" ht="34.5" customHeight="1">
      <c r="A29" s="27">
        <v>1.3</v>
      </c>
      <c r="B29" s="28" t="s">
        <v>119</v>
      </c>
      <c r="C29" s="29">
        <f>C30</f>
        <v>6000000</v>
      </c>
      <c r="D29" s="109">
        <f>D30</f>
        <v>0</v>
      </c>
    </row>
    <row r="30" spans="1:4" ht="24.75" customHeight="1">
      <c r="A30" s="8">
        <v>7000</v>
      </c>
      <c r="B30" s="9" t="s">
        <v>112</v>
      </c>
      <c r="C30" s="10">
        <v>6000000</v>
      </c>
      <c r="D30" s="75"/>
    </row>
    <row r="31" spans="1:4" ht="24.75" customHeight="1">
      <c r="A31" s="27">
        <v>1.4</v>
      </c>
      <c r="B31" s="28" t="s">
        <v>118</v>
      </c>
      <c r="C31" s="29">
        <f>C32+C33+C34</f>
        <v>389000000</v>
      </c>
      <c r="D31" s="29">
        <f>D32+D33+D34</f>
        <v>341167647</v>
      </c>
    </row>
    <row r="32" spans="1:4" ht="24.75" customHeight="1">
      <c r="A32" s="8">
        <v>6000</v>
      </c>
      <c r="B32" s="9" t="s">
        <v>106</v>
      </c>
      <c r="C32" s="10">
        <v>206580000</v>
      </c>
      <c r="D32" s="75">
        <f>189921774</f>
        <v>189921774</v>
      </c>
    </row>
    <row r="33" spans="1:4" ht="24.75" customHeight="1">
      <c r="A33" s="8">
        <v>6050</v>
      </c>
      <c r="B33" s="9" t="s">
        <v>113</v>
      </c>
      <c r="C33" s="10">
        <v>74620000</v>
      </c>
      <c r="D33" s="75">
        <f>43935537+9181089</f>
        <v>53116626</v>
      </c>
    </row>
    <row r="34" spans="1:4" ht="24.75" customHeight="1">
      <c r="A34" s="8">
        <v>6100</v>
      </c>
      <c r="B34" s="9" t="s">
        <v>107</v>
      </c>
      <c r="C34" s="10">
        <v>107800000</v>
      </c>
      <c r="D34" s="75">
        <f>3336000+78905393+278000+15609854</f>
        <v>98129247</v>
      </c>
    </row>
    <row r="35" spans="1:4" ht="24.75" customHeight="1">
      <c r="A35" s="22"/>
      <c r="B35" s="23"/>
      <c r="C35" s="24"/>
      <c r="D35" s="60"/>
    </row>
    <row r="36" spans="3:4" ht="16.5">
      <c r="C36" s="154" t="s">
        <v>90</v>
      </c>
      <c r="D36" s="154"/>
    </row>
    <row r="37" spans="3:4" ht="15.75">
      <c r="C37" s="157" t="s">
        <v>60</v>
      </c>
      <c r="D37" s="157"/>
    </row>
    <row r="38" ht="15.75">
      <c r="D38" s="1"/>
    </row>
    <row r="39" ht="15.75">
      <c r="D39" s="1"/>
    </row>
    <row r="40" ht="15.75">
      <c r="D40" s="1"/>
    </row>
    <row r="41" ht="15.75">
      <c r="D41" s="1"/>
    </row>
    <row r="42" spans="3:4" ht="15.75">
      <c r="C42" s="162" t="s">
        <v>100</v>
      </c>
      <c r="D42" s="162"/>
    </row>
    <row r="43" spans="2:4" ht="15.75">
      <c r="B43" s="59" t="s">
        <v>76</v>
      </c>
      <c r="D43" s="1"/>
    </row>
    <row r="44" spans="2:4" ht="23.25" customHeight="1">
      <c r="B44" s="61" t="s">
        <v>75</v>
      </c>
      <c r="D44" s="1"/>
    </row>
    <row r="45" spans="2:4" ht="21.75" customHeight="1">
      <c r="B45" s="61" t="s">
        <v>77</v>
      </c>
      <c r="C45" s="1"/>
      <c r="D45" s="1"/>
    </row>
    <row r="46" ht="15.75">
      <c r="D46" s="1"/>
    </row>
    <row r="47" ht="16.5">
      <c r="D47" s="18"/>
    </row>
    <row r="48" spans="1:12" s="101" customFormat="1" ht="15.75">
      <c r="A48"/>
      <c r="B48"/>
      <c r="C48"/>
      <c r="D48" s="1"/>
      <c r="E48"/>
      <c r="F48"/>
      <c r="G48"/>
      <c r="H48"/>
      <c r="I48"/>
      <c r="J48"/>
      <c r="K48"/>
      <c r="L48"/>
    </row>
  </sheetData>
  <sheetProtection/>
  <mergeCells count="8">
    <mergeCell ref="C36:D36"/>
    <mergeCell ref="C37:D37"/>
    <mergeCell ref="C42:D42"/>
    <mergeCell ref="A3:D3"/>
    <mergeCell ref="A5:A6"/>
    <mergeCell ref="B5:B6"/>
    <mergeCell ref="C5:C6"/>
    <mergeCell ref="D5:D6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9"/>
  <sheetViews>
    <sheetView zoomScale="75" zoomScaleNormal="75" zoomScalePageLayoutView="0" workbookViewId="0" topLeftCell="A1">
      <selection activeCell="E5" sqref="E5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14.296875" style="0" customWidth="1"/>
    <col min="5" max="5" width="11.09765625" style="0" customWidth="1"/>
    <col min="6" max="6" width="11.3984375" style="0" customWidth="1"/>
    <col min="7" max="7" width="15.69921875" style="101" customWidth="1"/>
    <col min="10" max="10" width="35.296875" style="0" customWidth="1"/>
    <col min="11" max="11" width="21.296875" style="0" customWidth="1"/>
    <col min="12" max="12" width="17.69921875" style="0" customWidth="1"/>
    <col min="14" max="14" width="10.09765625" style="0" bestFit="1" customWidth="1"/>
  </cols>
  <sheetData>
    <row r="1" spans="1:6" ht="23.25" customHeight="1">
      <c r="A1" s="19" t="s">
        <v>99</v>
      </c>
      <c r="B1" s="32"/>
      <c r="D1" s="155" t="s">
        <v>53</v>
      </c>
      <c r="E1" s="155"/>
      <c r="F1" s="155"/>
    </row>
    <row r="2" spans="1:6" ht="32.25" customHeight="1">
      <c r="A2" s="17" t="s">
        <v>79</v>
      </c>
      <c r="B2" s="38"/>
      <c r="D2" s="156" t="s">
        <v>30</v>
      </c>
      <c r="E2" s="156"/>
      <c r="F2" s="156"/>
    </row>
    <row r="3" spans="1:6" ht="22.5" customHeight="1">
      <c r="A3" s="157" t="s">
        <v>124</v>
      </c>
      <c r="B3" s="157"/>
      <c r="C3" s="157"/>
      <c r="D3" s="157"/>
      <c r="E3" s="157"/>
      <c r="F3" s="157"/>
    </row>
    <row r="4" spans="1:6" ht="16.5">
      <c r="A4" s="158" t="s">
        <v>64</v>
      </c>
      <c r="B4" s="158"/>
      <c r="C4" s="158"/>
      <c r="D4" s="158"/>
      <c r="E4" s="158"/>
      <c r="F4" s="158"/>
    </row>
    <row r="5" spans="1:5" ht="29.25" customHeight="1">
      <c r="A5" s="1"/>
      <c r="B5" s="1"/>
      <c r="E5" s="25" t="s">
        <v>11</v>
      </c>
    </row>
    <row r="6" spans="1:7" ht="27.75" customHeight="1">
      <c r="A6" s="153" t="s">
        <v>0</v>
      </c>
      <c r="B6" s="153" t="s">
        <v>54</v>
      </c>
      <c r="C6" s="163" t="s">
        <v>92</v>
      </c>
      <c r="D6" s="160" t="s">
        <v>125</v>
      </c>
      <c r="E6" s="161" t="s">
        <v>55</v>
      </c>
      <c r="F6" s="161"/>
      <c r="G6" s="110"/>
    </row>
    <row r="7" spans="1:11" ht="33.75" customHeight="1">
      <c r="A7" s="153"/>
      <c r="B7" s="153"/>
      <c r="C7" s="153"/>
      <c r="D7" s="160"/>
      <c r="E7" s="12" t="s">
        <v>56</v>
      </c>
      <c r="F7" s="37" t="s">
        <v>57</v>
      </c>
      <c r="G7" s="110"/>
      <c r="K7" s="76" t="e">
        <f>#REF!/#REF!</f>
        <v>#REF!</v>
      </c>
    </row>
    <row r="8" spans="1:11" ht="36.75" customHeight="1">
      <c r="A8" s="2" t="s">
        <v>2</v>
      </c>
      <c r="B8" s="3" t="s">
        <v>73</v>
      </c>
      <c r="C8" s="4"/>
      <c r="D8" s="4"/>
      <c r="E8" s="72"/>
      <c r="F8" s="72"/>
      <c r="J8" t="s">
        <v>23</v>
      </c>
      <c r="K8">
        <v>3592530000</v>
      </c>
    </row>
    <row r="9" spans="1:12" ht="24.75" customHeight="1">
      <c r="A9" s="5" t="s">
        <v>3</v>
      </c>
      <c r="B9" s="6" t="s">
        <v>72</v>
      </c>
      <c r="C9" s="7">
        <f>C10</f>
        <v>7464000000</v>
      </c>
      <c r="D9" s="7">
        <f>D10</f>
        <v>6111976049</v>
      </c>
      <c r="E9" s="70">
        <f>E10</f>
        <v>0.8188606710878885</v>
      </c>
      <c r="F9" s="70">
        <f>F10</f>
        <v>1.02</v>
      </c>
      <c r="J9" t="s">
        <v>62</v>
      </c>
      <c r="L9" t="e">
        <f>#REF!/223000000</f>
        <v>#REF!</v>
      </c>
    </row>
    <row r="10" spans="1:11" ht="24.75" customHeight="1">
      <c r="A10" s="5">
        <v>1</v>
      </c>
      <c r="B10" s="6" t="s">
        <v>37</v>
      </c>
      <c r="C10" s="7">
        <f>C11+C29+C30+C32</f>
        <v>7464000000</v>
      </c>
      <c r="D10" s="7">
        <f>D11+D29+D30+D32</f>
        <v>6111976049</v>
      </c>
      <c r="E10" s="70">
        <f aca="true" t="shared" si="0" ref="E10:E16">D10/C10</f>
        <v>0.8188606710878885</v>
      </c>
      <c r="F10" s="70">
        <v>1.02</v>
      </c>
      <c r="G10" s="101">
        <v>7019900000</v>
      </c>
      <c r="J10" t="s">
        <v>12</v>
      </c>
      <c r="K10">
        <v>2733057100</v>
      </c>
    </row>
    <row r="11" spans="1:12" ht="24.75" customHeight="1">
      <c r="A11" s="27" t="s">
        <v>32</v>
      </c>
      <c r="B11" s="28" t="s">
        <v>38</v>
      </c>
      <c r="C11" s="29">
        <f>C12+C18+C25+C27</f>
        <v>6902000000</v>
      </c>
      <c r="D11" s="29">
        <f>D12+D18+D25+D27</f>
        <v>5770808402</v>
      </c>
      <c r="E11" s="67">
        <f t="shared" si="0"/>
        <v>0.8361066940017386</v>
      </c>
      <c r="F11" s="67">
        <v>1.03</v>
      </c>
      <c r="H11" s="76">
        <f aca="true" t="shared" si="1" ref="H11:H21">D11/C11</f>
        <v>0.8361066940017386</v>
      </c>
      <c r="J11" t="s">
        <v>63</v>
      </c>
      <c r="K11">
        <v>4665465000</v>
      </c>
      <c r="L11" s="77" t="e">
        <f>K11-#REF!</f>
        <v>#REF!</v>
      </c>
    </row>
    <row r="12" spans="1:10" ht="24.75" customHeight="1">
      <c r="A12" s="103" t="s">
        <v>40</v>
      </c>
      <c r="B12" s="28" t="s">
        <v>6</v>
      </c>
      <c r="C12" s="29">
        <f>SUM(C13:C17)</f>
        <v>5062822000</v>
      </c>
      <c r="D12" s="29">
        <f>SUM(D13:D17)</f>
        <v>3518082183</v>
      </c>
      <c r="E12" s="67">
        <f t="shared" si="0"/>
        <v>0.6948856157692291</v>
      </c>
      <c r="F12" s="112">
        <v>1.02</v>
      </c>
      <c r="G12" s="101">
        <f>G13+G14+G15+G16+G17</f>
        <v>4364955913</v>
      </c>
      <c r="H12" s="76">
        <f t="shared" si="1"/>
        <v>0.6948856157692291</v>
      </c>
      <c r="J12" t="s">
        <v>33</v>
      </c>
    </row>
    <row r="13" spans="1:12" ht="24.75" customHeight="1">
      <c r="A13" s="8">
        <v>6000</v>
      </c>
      <c r="B13" s="9" t="s">
        <v>106</v>
      </c>
      <c r="C13" s="10">
        <f>2594135000-167000000-10000000</f>
        <v>2417135000</v>
      </c>
      <c r="D13" s="75">
        <v>1638641110</v>
      </c>
      <c r="E13" s="67">
        <f t="shared" si="0"/>
        <v>0.6779270127651125</v>
      </c>
      <c r="F13" s="112">
        <v>1.02</v>
      </c>
      <c r="G13" s="101">
        <v>1928680672</v>
      </c>
      <c r="H13" s="76">
        <f t="shared" si="1"/>
        <v>0.6779270127651125</v>
      </c>
      <c r="J13" t="s">
        <v>35</v>
      </c>
      <c r="K13">
        <v>1989486000</v>
      </c>
      <c r="L13" s="77" t="e">
        <f>K13-#REF!</f>
        <v>#REF!</v>
      </c>
    </row>
    <row r="14" spans="1:10" ht="24.75" customHeight="1">
      <c r="A14" s="8">
        <v>6050</v>
      </c>
      <c r="B14" s="9" t="s">
        <v>113</v>
      </c>
      <c r="C14" s="10">
        <v>826917000</v>
      </c>
      <c r="D14" s="75">
        <f>425255692+78911800</f>
        <v>504167492</v>
      </c>
      <c r="E14" s="67">
        <f t="shared" si="0"/>
        <v>0.6096954011103896</v>
      </c>
      <c r="F14" s="112">
        <v>0.99</v>
      </c>
      <c r="G14" s="101">
        <v>680547521</v>
      </c>
      <c r="H14" s="76">
        <f t="shared" si="1"/>
        <v>0.6096954011103896</v>
      </c>
      <c r="J14" t="s">
        <v>62</v>
      </c>
    </row>
    <row r="15" spans="1:10" ht="24.75" customHeight="1">
      <c r="A15" s="8">
        <v>6100</v>
      </c>
      <c r="B15" s="9" t="s">
        <v>107</v>
      </c>
      <c r="C15" s="10">
        <f>1029176300+10000000</f>
        <v>1039176300</v>
      </c>
      <c r="D15" s="75">
        <f>23117000+597257080+2116000+108341196</f>
        <v>730831276</v>
      </c>
      <c r="E15" s="67">
        <f t="shared" si="0"/>
        <v>0.7032793915719594</v>
      </c>
      <c r="F15" s="112">
        <v>1.01</v>
      </c>
      <c r="G15" s="101">
        <v>1003466044</v>
      </c>
      <c r="H15" s="76">
        <f t="shared" si="1"/>
        <v>0.7032793915719594</v>
      </c>
      <c r="J15" t="s">
        <v>12</v>
      </c>
    </row>
    <row r="16" spans="1:10" ht="24.75" customHeight="1">
      <c r="A16" s="8">
        <v>6300</v>
      </c>
      <c r="B16" s="21" t="s">
        <v>108</v>
      </c>
      <c r="C16" s="10">
        <v>779593700</v>
      </c>
      <c r="D16" s="75">
        <f>490681495+77850487+50167765+25742558</f>
        <v>644442305</v>
      </c>
      <c r="E16" s="67">
        <f t="shared" si="0"/>
        <v>0.8266386773007529</v>
      </c>
      <c r="F16" s="112">
        <v>1.02</v>
      </c>
      <c r="G16" s="101">
        <v>670295973</v>
      </c>
      <c r="H16" s="76">
        <f>D16/C16</f>
        <v>0.8266386773007529</v>
      </c>
      <c r="J16" t="s">
        <v>12</v>
      </c>
    </row>
    <row r="17" spans="1:10" ht="24.75" customHeight="1">
      <c r="A17" s="8">
        <v>6404</v>
      </c>
      <c r="B17" s="21" t="s">
        <v>114</v>
      </c>
      <c r="C17" s="10"/>
      <c r="D17" s="75"/>
      <c r="E17" s="67"/>
      <c r="F17" s="112">
        <v>0</v>
      </c>
      <c r="G17" s="101">
        <v>81965703</v>
      </c>
      <c r="H17" s="76" t="e">
        <f t="shared" si="1"/>
        <v>#DIV/0!</v>
      </c>
      <c r="J17" t="s">
        <v>20</v>
      </c>
    </row>
    <row r="18" spans="1:10" ht="24.75" customHeight="1">
      <c r="A18" s="103" t="s">
        <v>40</v>
      </c>
      <c r="B18" s="104" t="s">
        <v>109</v>
      </c>
      <c r="C18" s="29">
        <f>SUM(C19:C24)</f>
        <v>1832182000</v>
      </c>
      <c r="D18" s="29">
        <f>SUM(D19:D24)</f>
        <v>2252726219</v>
      </c>
      <c r="E18" s="67">
        <f aca="true" t="shared" si="2" ref="E18:E24">D18/C18</f>
        <v>1.2295319018525452</v>
      </c>
      <c r="F18" s="112">
        <f>D18/G18</f>
        <v>0.8882835399225455</v>
      </c>
      <c r="G18" s="101">
        <f>G19+G20+G21+G22+G24+G23</f>
        <v>2536044087</v>
      </c>
      <c r="H18" s="76">
        <f t="shared" si="1"/>
        <v>1.2295319018525452</v>
      </c>
      <c r="J18" t="s">
        <v>37</v>
      </c>
    </row>
    <row r="19" spans="1:11" ht="24.75" customHeight="1">
      <c r="A19" s="8">
        <v>6500</v>
      </c>
      <c r="B19" s="21" t="s">
        <v>25</v>
      </c>
      <c r="C19" s="10">
        <v>138000000</v>
      </c>
      <c r="D19" s="75">
        <f>73493910+2552963+7488000</f>
        <v>83534873</v>
      </c>
      <c r="E19" s="67">
        <f>D19/C19</f>
        <v>0.6053251666666667</v>
      </c>
      <c r="F19" s="112">
        <v>0.75</v>
      </c>
      <c r="G19" s="101">
        <v>240733395</v>
      </c>
      <c r="H19" s="76">
        <f t="shared" si="1"/>
        <v>0.6053251666666667</v>
      </c>
      <c r="J19" t="s">
        <v>38</v>
      </c>
      <c r="K19">
        <v>6558440000</v>
      </c>
    </row>
    <row r="20" spans="1:10" ht="24.75" customHeight="1">
      <c r="A20" s="8">
        <v>6550</v>
      </c>
      <c r="B20" s="21" t="s">
        <v>110</v>
      </c>
      <c r="C20" s="10">
        <v>175760000</v>
      </c>
      <c r="D20" s="115">
        <f>156039000+81403000</f>
        <v>237442000</v>
      </c>
      <c r="E20" s="67">
        <f t="shared" si="2"/>
        <v>1.3509444697314519</v>
      </c>
      <c r="F20" s="112">
        <v>0.6</v>
      </c>
      <c r="G20" s="101">
        <v>374173000</v>
      </c>
      <c r="H20" s="76">
        <f t="shared" si="1"/>
        <v>1.3509444697314519</v>
      </c>
      <c r="J20" t="s">
        <v>15</v>
      </c>
    </row>
    <row r="21" spans="1:11" ht="24.75" customHeight="1">
      <c r="A21" s="8">
        <v>6600</v>
      </c>
      <c r="B21" s="21" t="s">
        <v>115</v>
      </c>
      <c r="C21" s="10">
        <v>39600000</v>
      </c>
      <c r="D21" s="75">
        <f>1842846+3973200</f>
        <v>5816046</v>
      </c>
      <c r="E21" s="67">
        <f t="shared" si="2"/>
        <v>0.1468698484848485</v>
      </c>
      <c r="F21" s="112">
        <v>0.72</v>
      </c>
      <c r="G21" s="101">
        <v>6728992</v>
      </c>
      <c r="H21" s="76">
        <f t="shared" si="1"/>
        <v>0.1468698484848485</v>
      </c>
      <c r="J21" t="s">
        <v>6</v>
      </c>
      <c r="K21">
        <v>4621176495</v>
      </c>
    </row>
    <row r="22" spans="1:8" ht="24.75" customHeight="1">
      <c r="A22" s="8">
        <v>6700</v>
      </c>
      <c r="B22" s="9" t="s">
        <v>111</v>
      </c>
      <c r="C22" s="10">
        <v>22200000</v>
      </c>
      <c r="D22" s="75">
        <v>16150000</v>
      </c>
      <c r="E22" s="67">
        <v>0.99</v>
      </c>
      <c r="F22" s="112">
        <v>0</v>
      </c>
      <c r="G22" s="101">
        <v>16650000</v>
      </c>
      <c r="H22" s="76"/>
    </row>
    <row r="23" spans="1:8" ht="24.75" customHeight="1">
      <c r="A23" s="8">
        <v>6900</v>
      </c>
      <c r="B23" s="9" t="s">
        <v>123</v>
      </c>
      <c r="C23" s="10">
        <v>26000000</v>
      </c>
      <c r="D23" s="75"/>
      <c r="E23" s="67">
        <f t="shared" si="2"/>
        <v>0</v>
      </c>
      <c r="F23" s="67"/>
      <c r="G23" s="101">
        <v>4813000</v>
      </c>
      <c r="H23" s="76"/>
    </row>
    <row r="24" spans="1:10" ht="24.75" customHeight="1">
      <c r="A24" s="8">
        <v>7000</v>
      </c>
      <c r="B24" s="9" t="s">
        <v>112</v>
      </c>
      <c r="C24" s="10">
        <v>1430622000</v>
      </c>
      <c r="D24" s="75">
        <v>1909783300</v>
      </c>
      <c r="E24" s="67">
        <f t="shared" si="2"/>
        <v>1.334932148394195</v>
      </c>
      <c r="F24" s="112">
        <v>1.5</v>
      </c>
      <c r="G24" s="101">
        <v>1892945700</v>
      </c>
      <c r="H24" s="76"/>
      <c r="J24" s="77">
        <f>278000000-C19</f>
        <v>140000000</v>
      </c>
    </row>
    <row r="25" spans="1:8" ht="24.75" customHeight="1">
      <c r="A25" s="103" t="s">
        <v>40</v>
      </c>
      <c r="B25" s="28" t="s">
        <v>8</v>
      </c>
      <c r="C25" s="29">
        <f>C26</f>
        <v>0</v>
      </c>
      <c r="D25" s="29">
        <f>D26</f>
        <v>0</v>
      </c>
      <c r="E25" s="67"/>
      <c r="F25" s="67"/>
      <c r="H25" s="76"/>
    </row>
    <row r="26" spans="1:8" ht="24.75" customHeight="1">
      <c r="A26" s="8">
        <v>7050</v>
      </c>
      <c r="B26" s="9" t="s">
        <v>116</v>
      </c>
      <c r="C26" s="10"/>
      <c r="D26" s="75"/>
      <c r="E26" s="67"/>
      <c r="F26" s="67"/>
      <c r="H26" s="76"/>
    </row>
    <row r="27" spans="1:8" ht="24.75" customHeight="1">
      <c r="A27" s="103" t="s">
        <v>40</v>
      </c>
      <c r="B27" s="28" t="s">
        <v>9</v>
      </c>
      <c r="C27" s="29">
        <f>C28</f>
        <v>6996000</v>
      </c>
      <c r="D27" s="29">
        <f>D28</f>
        <v>0</v>
      </c>
      <c r="E27" s="67"/>
      <c r="F27" s="67"/>
      <c r="H27" s="76"/>
    </row>
    <row r="28" spans="1:8" ht="24.75" customHeight="1">
      <c r="A28" s="8">
        <v>7750</v>
      </c>
      <c r="B28" s="9" t="s">
        <v>9</v>
      </c>
      <c r="C28" s="10">
        <v>6996000</v>
      </c>
      <c r="D28" s="75"/>
      <c r="E28" s="67">
        <f>D28/C28</f>
        <v>0</v>
      </c>
      <c r="F28" s="67">
        <f>D28/G28</f>
        <v>0</v>
      </c>
      <c r="G28" s="101">
        <v>1000000</v>
      </c>
      <c r="H28" s="76"/>
    </row>
    <row r="29" spans="1:8" ht="37.5" customHeight="1">
      <c r="A29" s="27">
        <v>1.2</v>
      </c>
      <c r="B29" s="28" t="s">
        <v>117</v>
      </c>
      <c r="C29" s="29">
        <v>167000000</v>
      </c>
      <c r="D29" s="109"/>
      <c r="E29" s="67">
        <f>D29/C29</f>
        <v>0</v>
      </c>
      <c r="F29" s="67"/>
      <c r="H29" s="76"/>
    </row>
    <row r="30" spans="1:8" ht="34.5" customHeight="1">
      <c r="A30" s="27">
        <v>1.3</v>
      </c>
      <c r="B30" s="28" t="s">
        <v>119</v>
      </c>
      <c r="C30" s="29">
        <f>C31</f>
        <v>6000000</v>
      </c>
      <c r="D30" s="109">
        <f>D31</f>
        <v>0</v>
      </c>
      <c r="E30" s="67"/>
      <c r="F30" s="67">
        <f>F31</f>
        <v>0</v>
      </c>
      <c r="H30" s="76"/>
    </row>
    <row r="31" spans="1:8" ht="24.75" customHeight="1">
      <c r="A31" s="8">
        <v>7000</v>
      </c>
      <c r="B31" s="9" t="s">
        <v>112</v>
      </c>
      <c r="C31" s="10">
        <v>6000000</v>
      </c>
      <c r="D31" s="75"/>
      <c r="E31" s="67"/>
      <c r="F31" s="67">
        <f>D31/G31</f>
        <v>0</v>
      </c>
      <c r="G31" s="101">
        <v>12900000</v>
      </c>
      <c r="H31" s="76"/>
    </row>
    <row r="32" spans="1:8" ht="24.75" customHeight="1">
      <c r="A32" s="27">
        <v>1.4</v>
      </c>
      <c r="B32" s="28" t="s">
        <v>118</v>
      </c>
      <c r="C32" s="29">
        <f>C33+C34+C35</f>
        <v>389000000</v>
      </c>
      <c r="D32" s="29">
        <f>D33+D34+D35</f>
        <v>341167647</v>
      </c>
      <c r="E32" s="67">
        <f>D32/C32</f>
        <v>0.8770376529562982</v>
      </c>
      <c r="F32" s="67"/>
      <c r="H32" s="76"/>
    </row>
    <row r="33" spans="1:8" ht="24.75" customHeight="1">
      <c r="A33" s="8">
        <v>6000</v>
      </c>
      <c r="B33" s="9" t="s">
        <v>106</v>
      </c>
      <c r="C33" s="10">
        <v>206580000</v>
      </c>
      <c r="D33" s="75">
        <f>189921774</f>
        <v>189921774</v>
      </c>
      <c r="E33" s="67">
        <f>D33/C33</f>
        <v>0.9193618646529189</v>
      </c>
      <c r="F33" s="67"/>
      <c r="H33" s="76"/>
    </row>
    <row r="34" spans="1:8" ht="24.75" customHeight="1">
      <c r="A34" s="8">
        <v>6050</v>
      </c>
      <c r="B34" s="9" t="s">
        <v>113</v>
      </c>
      <c r="C34" s="10">
        <v>74620000</v>
      </c>
      <c r="D34" s="75">
        <f>43935537+9181089</f>
        <v>53116626</v>
      </c>
      <c r="E34" s="67">
        <f>D34/C34</f>
        <v>0.7118282766014473</v>
      </c>
      <c r="F34" s="67"/>
      <c r="H34" s="76"/>
    </row>
    <row r="35" spans="1:8" ht="24.75" customHeight="1">
      <c r="A35" s="8">
        <v>6100</v>
      </c>
      <c r="B35" s="9" t="s">
        <v>107</v>
      </c>
      <c r="C35" s="10">
        <v>107800000</v>
      </c>
      <c r="D35" s="75">
        <f>3336000+78905393+278000+15609854</f>
        <v>98129247</v>
      </c>
      <c r="E35" s="67">
        <f>D35/C35</f>
        <v>0.9102898608534323</v>
      </c>
      <c r="F35" s="67"/>
      <c r="H35" s="76"/>
    </row>
    <row r="36" spans="1:11" ht="24.75" customHeight="1">
      <c r="A36" s="22"/>
      <c r="B36" s="23"/>
      <c r="C36" s="24"/>
      <c r="D36" s="60"/>
      <c r="E36" s="60"/>
      <c r="F36" s="60"/>
      <c r="J36" t="s">
        <v>8</v>
      </c>
      <c r="K36">
        <v>93040000</v>
      </c>
    </row>
    <row r="37" spans="4:10" ht="16.5">
      <c r="D37" s="154" t="s">
        <v>90</v>
      </c>
      <c r="E37" s="154"/>
      <c r="F37" s="154"/>
      <c r="J37" t="s">
        <v>9</v>
      </c>
    </row>
    <row r="38" spans="4:6" ht="15.75">
      <c r="D38" s="157" t="s">
        <v>60</v>
      </c>
      <c r="E38" s="157"/>
      <c r="F38" s="157"/>
    </row>
    <row r="39" spans="4:6" ht="15.75">
      <c r="D39" s="1"/>
      <c r="E39" s="1"/>
      <c r="F39" s="1"/>
    </row>
    <row r="40" spans="4:6" ht="15.75">
      <c r="D40" s="1"/>
      <c r="E40" s="1"/>
      <c r="F40" s="1"/>
    </row>
    <row r="41" spans="4:6" ht="15.75">
      <c r="D41" s="1"/>
      <c r="E41" s="1"/>
      <c r="F41" s="1"/>
    </row>
    <row r="42" spans="4:6" ht="15.75">
      <c r="D42" s="1"/>
      <c r="E42" s="1"/>
      <c r="F42" s="1"/>
    </row>
    <row r="43" spans="4:6" ht="15.75">
      <c r="D43" s="162" t="s">
        <v>100</v>
      </c>
      <c r="E43" s="162"/>
      <c r="F43" s="162"/>
    </row>
    <row r="44" spans="2:6" ht="15.75">
      <c r="B44" s="59" t="s">
        <v>76</v>
      </c>
      <c r="D44" s="1"/>
      <c r="E44" s="1"/>
      <c r="F44" s="1"/>
    </row>
    <row r="45" spans="2:6" ht="23.25" customHeight="1">
      <c r="B45" s="61" t="s">
        <v>75</v>
      </c>
      <c r="D45" s="1"/>
      <c r="E45" s="1"/>
      <c r="F45" s="1"/>
    </row>
    <row r="46" spans="2:7" ht="21.75" customHeight="1">
      <c r="B46" s="61" t="s">
        <v>77</v>
      </c>
      <c r="C46" s="1"/>
      <c r="D46" s="1"/>
      <c r="E46" s="1"/>
      <c r="F46" s="1"/>
      <c r="G46" s="110"/>
    </row>
    <row r="47" spans="4:6" ht="15.75">
      <c r="D47" s="1"/>
      <c r="E47" s="1"/>
      <c r="F47" s="1"/>
    </row>
    <row r="48" spans="4:6" ht="16.5">
      <c r="D48" s="159"/>
      <c r="E48" s="159"/>
      <c r="F48" s="159"/>
    </row>
    <row r="49" spans="4:6" ht="15.75">
      <c r="D49" s="1"/>
      <c r="E49" s="1"/>
      <c r="F49" s="1"/>
    </row>
  </sheetData>
  <sheetProtection/>
  <mergeCells count="13">
    <mergeCell ref="D37:F37"/>
    <mergeCell ref="D38:F38"/>
    <mergeCell ref="D43:F43"/>
    <mergeCell ref="D48:F48"/>
    <mergeCell ref="D1:F1"/>
    <mergeCell ref="D2:F2"/>
    <mergeCell ref="A3:F3"/>
    <mergeCell ref="A4:F4"/>
    <mergeCell ref="A6:A7"/>
    <mergeCell ref="B6:B7"/>
    <mergeCell ref="C6:C7"/>
    <mergeCell ref="D6:D7"/>
    <mergeCell ref="E6:F6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selection activeCell="E19" sqref="E19"/>
    </sheetView>
  </sheetViews>
  <sheetFormatPr defaultColWidth="8.796875" defaultRowHeight="15"/>
  <cols>
    <col min="1" max="1" width="8.296875" style="0" customWidth="1"/>
    <col min="2" max="2" width="50.3984375" style="0" customWidth="1"/>
    <col min="3" max="3" width="26.796875" style="0" customWidth="1"/>
    <col min="5" max="6" width="13.6992187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38"/>
      <c r="C2" s="26" t="s">
        <v>30</v>
      </c>
    </row>
    <row r="3" spans="1:3" ht="22.5" customHeight="1">
      <c r="A3" s="164" t="s">
        <v>103</v>
      </c>
      <c r="B3" s="164"/>
      <c r="C3" s="164"/>
    </row>
    <row r="4" spans="1:7" ht="21" customHeight="1">
      <c r="A4" s="165" t="s">
        <v>104</v>
      </c>
      <c r="B4" s="165"/>
      <c r="C4" s="165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31</v>
      </c>
      <c r="C8" s="7"/>
    </row>
    <row r="9" spans="1:3" ht="24.75" customHeight="1">
      <c r="A9" s="8" t="s">
        <v>32</v>
      </c>
      <c r="B9" s="9" t="s">
        <v>33</v>
      </c>
      <c r="C9" s="7"/>
    </row>
    <row r="10" spans="1:3" ht="24.75" customHeight="1">
      <c r="A10" s="8" t="s">
        <v>34</v>
      </c>
      <c r="B10" s="9" t="s">
        <v>35</v>
      </c>
      <c r="C10" s="10"/>
    </row>
    <row r="11" spans="1:3" ht="24.75" customHeight="1">
      <c r="A11" s="5">
        <v>2</v>
      </c>
      <c r="B11" s="6" t="s">
        <v>36</v>
      </c>
      <c r="C11" s="10"/>
    </row>
    <row r="12" spans="1:3" ht="24.75" customHeight="1">
      <c r="A12" s="8" t="s">
        <v>65</v>
      </c>
      <c r="B12" s="9" t="s">
        <v>66</v>
      </c>
      <c r="C12" s="7"/>
    </row>
    <row r="13" spans="1:3" ht="24.75" customHeight="1">
      <c r="A13" s="8" t="s">
        <v>17</v>
      </c>
      <c r="B13" s="43" t="s">
        <v>49</v>
      </c>
      <c r="C13" s="7"/>
    </row>
    <row r="14" spans="1:3" ht="24.75" customHeight="1">
      <c r="A14" s="8" t="s">
        <v>18</v>
      </c>
      <c r="B14" s="44" t="s">
        <v>50</v>
      </c>
      <c r="C14" s="29"/>
    </row>
    <row r="15" spans="1:3" ht="24.75" customHeight="1">
      <c r="A15" s="8" t="s">
        <v>67</v>
      </c>
      <c r="B15" s="44" t="s">
        <v>37</v>
      </c>
      <c r="C15" s="10"/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7">
        <f>C22</f>
        <v>562500</v>
      </c>
    </row>
    <row r="22" spans="1:3" ht="24.75" customHeight="1">
      <c r="A22" s="5">
        <v>1</v>
      </c>
      <c r="B22" s="6" t="s">
        <v>37</v>
      </c>
      <c r="C22" s="7">
        <f>C23+C34</f>
        <v>562500</v>
      </c>
    </row>
    <row r="23" spans="1:3" ht="24.75" customHeight="1">
      <c r="A23" s="27" t="s">
        <v>32</v>
      </c>
      <c r="B23" s="28" t="s">
        <v>38</v>
      </c>
      <c r="C23" s="7">
        <f>SUM(C24:C33)</f>
        <v>0</v>
      </c>
    </row>
    <row r="24" spans="1:3" ht="24.75" customHeight="1">
      <c r="A24" s="8"/>
      <c r="B24" s="9" t="s">
        <v>15</v>
      </c>
      <c r="C24" s="10"/>
    </row>
    <row r="25" spans="1:3" ht="24.75" customHeight="1">
      <c r="A25" s="8"/>
      <c r="B25" s="9" t="s">
        <v>6</v>
      </c>
      <c r="C25" s="10"/>
    </row>
    <row r="26" spans="1:3" ht="24.75" customHeight="1">
      <c r="A26" s="8"/>
      <c r="B26" s="9" t="s">
        <v>24</v>
      </c>
      <c r="C26" s="10"/>
    </row>
    <row r="27" spans="1:3" ht="24.75" customHeight="1">
      <c r="A27" s="48"/>
      <c r="B27" s="21" t="s">
        <v>25</v>
      </c>
      <c r="C27" s="10"/>
    </row>
    <row r="28" spans="1:3" ht="24.75" customHeight="1">
      <c r="A28" s="48"/>
      <c r="B28" s="21" t="s">
        <v>26</v>
      </c>
      <c r="C28" s="10"/>
    </row>
    <row r="29" spans="1:3" ht="24.75" customHeight="1">
      <c r="A29" s="48"/>
      <c r="B29" s="21" t="s">
        <v>28</v>
      </c>
      <c r="C29" s="10"/>
    </row>
    <row r="30" spans="1:3" ht="24.75" customHeight="1">
      <c r="A30" s="48"/>
      <c r="B30" s="21" t="s">
        <v>27</v>
      </c>
      <c r="C30" s="10"/>
    </row>
    <row r="31" spans="1:3" ht="24.75" customHeight="1">
      <c r="A31" s="8"/>
      <c r="B31" s="9" t="s">
        <v>7</v>
      </c>
      <c r="C31" s="10"/>
    </row>
    <row r="32" spans="1:3" ht="24.75" customHeight="1">
      <c r="A32" s="8"/>
      <c r="B32" s="9" t="s">
        <v>8</v>
      </c>
      <c r="C32" s="10"/>
    </row>
    <row r="33" spans="1:3" s="30" customFormat="1" ht="24.75" customHeight="1">
      <c r="A33" s="8"/>
      <c r="B33" s="9" t="s">
        <v>9</v>
      </c>
      <c r="C33" s="29"/>
    </row>
    <row r="34" spans="1:3" ht="24.75" customHeight="1">
      <c r="A34" s="27" t="s">
        <v>34</v>
      </c>
      <c r="B34" s="28" t="s">
        <v>39</v>
      </c>
      <c r="C34" s="7">
        <f>SUM(C35:C37)</f>
        <v>562500</v>
      </c>
    </row>
    <row r="35" spans="1:3" ht="24.75" customHeight="1">
      <c r="A35" s="8" t="s">
        <v>40</v>
      </c>
      <c r="B35" s="9" t="s">
        <v>21</v>
      </c>
      <c r="C35" s="89"/>
    </row>
    <row r="36" spans="1:3" ht="24.75" customHeight="1">
      <c r="A36" s="8"/>
      <c r="B36" s="9" t="s">
        <v>7</v>
      </c>
      <c r="C36" s="90">
        <v>562500</v>
      </c>
    </row>
    <row r="37" spans="1:3" ht="24.75" customHeight="1">
      <c r="A37" s="8"/>
      <c r="B37" s="9" t="s">
        <v>95</v>
      </c>
      <c r="C37" s="62"/>
    </row>
    <row r="38" spans="1:3" ht="24.75" customHeight="1">
      <c r="A38" s="14"/>
      <c r="B38" s="15" t="s">
        <v>71</v>
      </c>
      <c r="C38" s="49"/>
    </row>
    <row r="39" spans="1:2" ht="18.75" customHeight="1">
      <c r="A39" s="22"/>
      <c r="B39" s="23"/>
    </row>
    <row r="40" spans="3:5" ht="16.5">
      <c r="C40" s="33" t="s">
        <v>105</v>
      </c>
      <c r="D40" s="40"/>
      <c r="E40" s="40"/>
    </row>
    <row r="41" spans="3:5" ht="21.75" customHeight="1">
      <c r="C41" s="11" t="s">
        <v>60</v>
      </c>
      <c r="D41" s="19"/>
      <c r="E41" s="19"/>
    </row>
    <row r="42" spans="3:5" ht="15.75">
      <c r="C42" s="36"/>
      <c r="D42" s="1"/>
      <c r="E42" s="1"/>
    </row>
    <row r="43" spans="3:5" ht="15.75">
      <c r="C43" s="36"/>
      <c r="D43" s="1"/>
      <c r="E43" s="1"/>
    </row>
    <row r="44" spans="3:5" ht="15.75">
      <c r="C44" s="36"/>
      <c r="D44" s="1"/>
      <c r="E44" s="1"/>
    </row>
    <row r="45" spans="3:5" ht="15.75">
      <c r="C45" s="36" t="s">
        <v>100</v>
      </c>
      <c r="D45" s="1"/>
      <c r="E45" s="1"/>
    </row>
    <row r="46" spans="3:5" ht="15.75">
      <c r="C46" s="36"/>
      <c r="D46" s="1"/>
      <c r="E46" s="1"/>
    </row>
    <row r="47" spans="3:5" ht="15.75">
      <c r="C47" s="36"/>
      <c r="D47" s="1"/>
      <c r="E47" s="1"/>
    </row>
    <row r="48" spans="3:5" ht="15.75">
      <c r="C48" s="36"/>
      <c r="D48" s="1"/>
      <c r="E48" s="1"/>
    </row>
    <row r="49" spans="2:5" ht="15.75">
      <c r="B49" s="59" t="s">
        <v>74</v>
      </c>
      <c r="C49" s="36"/>
      <c r="D49" s="1"/>
      <c r="E49" s="1"/>
    </row>
    <row r="50" spans="3:5" ht="15.75">
      <c r="C50" s="36"/>
      <c r="D50" s="1"/>
      <c r="E50" s="1"/>
    </row>
    <row r="51" spans="3:5" ht="15.75">
      <c r="C51" s="36"/>
      <c r="D51" s="1"/>
      <c r="E51" s="1"/>
    </row>
    <row r="52" spans="3:5" ht="15.75">
      <c r="C52" s="36"/>
      <c r="D52" s="1"/>
      <c r="E52" s="1"/>
    </row>
    <row r="53" spans="3:5" ht="16.5">
      <c r="C53" s="18"/>
      <c r="D53" s="41"/>
      <c r="E53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selection activeCell="C41" sqref="C41"/>
    </sheetView>
  </sheetViews>
  <sheetFormatPr defaultColWidth="8.796875" defaultRowHeight="15"/>
  <cols>
    <col min="1" max="1" width="8.296875" style="0" customWidth="1"/>
    <col min="2" max="2" width="50.3984375" style="0" customWidth="1"/>
    <col min="3" max="3" width="26.796875" style="0" customWidth="1"/>
    <col min="5" max="6" width="13.6992187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38"/>
      <c r="C2" s="26" t="s">
        <v>30</v>
      </c>
    </row>
    <row r="3" spans="1:3" ht="22.5" customHeight="1">
      <c r="A3" s="164" t="s">
        <v>103</v>
      </c>
      <c r="B3" s="164"/>
      <c r="C3" s="164"/>
    </row>
    <row r="4" spans="1:7" ht="21" customHeight="1">
      <c r="A4" s="165" t="s">
        <v>104</v>
      </c>
      <c r="B4" s="165"/>
      <c r="C4" s="165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31</v>
      </c>
      <c r="C8" s="7"/>
    </row>
    <row r="9" spans="1:3" ht="24.75" customHeight="1">
      <c r="A9" s="8" t="s">
        <v>32</v>
      </c>
      <c r="B9" s="9" t="s">
        <v>33</v>
      </c>
      <c r="C9" s="7"/>
    </row>
    <row r="10" spans="1:3" ht="24.75" customHeight="1">
      <c r="A10" s="8" t="s">
        <v>34</v>
      </c>
      <c r="B10" s="9" t="s">
        <v>35</v>
      </c>
      <c r="C10" s="10"/>
    </row>
    <row r="11" spans="1:3" ht="24.75" customHeight="1">
      <c r="A11" s="5">
        <v>2</v>
      </c>
      <c r="B11" s="6" t="s">
        <v>36</v>
      </c>
      <c r="C11" s="10"/>
    </row>
    <row r="12" spans="1:3" ht="24.75" customHeight="1">
      <c r="A12" s="8" t="s">
        <v>65</v>
      </c>
      <c r="B12" s="9" t="s">
        <v>66</v>
      </c>
      <c r="C12" s="7"/>
    </row>
    <row r="13" spans="1:3" ht="24.75" customHeight="1">
      <c r="A13" s="8" t="s">
        <v>17</v>
      </c>
      <c r="B13" s="43" t="s">
        <v>49</v>
      </c>
      <c r="C13" s="7"/>
    </row>
    <row r="14" spans="1:3" ht="24.75" customHeight="1">
      <c r="A14" s="8" t="s">
        <v>18</v>
      </c>
      <c r="B14" s="44" t="s">
        <v>50</v>
      </c>
      <c r="C14" s="29"/>
    </row>
    <row r="15" spans="1:3" ht="24.75" customHeight="1">
      <c r="A15" s="8" t="s">
        <v>67</v>
      </c>
      <c r="B15" s="44" t="s">
        <v>37</v>
      </c>
      <c r="C15" s="10"/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7">
        <f>C22</f>
        <v>130043370</v>
      </c>
    </row>
    <row r="22" spans="1:3" ht="24.75" customHeight="1">
      <c r="A22" s="5">
        <v>1</v>
      </c>
      <c r="B22" s="6" t="s">
        <v>37</v>
      </c>
      <c r="C22" s="7">
        <f>C23+C34</f>
        <v>130043370</v>
      </c>
    </row>
    <row r="23" spans="1:3" ht="24.75" customHeight="1">
      <c r="A23" s="27" t="s">
        <v>32</v>
      </c>
      <c r="B23" s="28" t="s">
        <v>38</v>
      </c>
      <c r="C23" s="7">
        <f>SUM(C24:C33)</f>
        <v>0</v>
      </c>
    </row>
    <row r="24" spans="1:3" ht="24.75" customHeight="1">
      <c r="A24" s="8"/>
      <c r="B24" s="9" t="s">
        <v>15</v>
      </c>
      <c r="C24" s="10"/>
    </row>
    <row r="25" spans="1:3" ht="24.75" customHeight="1">
      <c r="A25" s="8"/>
      <c r="B25" s="9" t="s">
        <v>6</v>
      </c>
      <c r="C25" s="10"/>
    </row>
    <row r="26" spans="1:3" ht="24.75" customHeight="1">
      <c r="A26" s="8"/>
      <c r="B26" s="9" t="s">
        <v>24</v>
      </c>
      <c r="C26" s="10"/>
    </row>
    <row r="27" spans="1:3" ht="24.75" customHeight="1">
      <c r="A27" s="48"/>
      <c r="B27" s="21" t="s">
        <v>25</v>
      </c>
      <c r="C27" s="10"/>
    </row>
    <row r="28" spans="1:3" ht="24.75" customHeight="1">
      <c r="A28" s="48"/>
      <c r="B28" s="21" t="s">
        <v>26</v>
      </c>
      <c r="C28" s="10"/>
    </row>
    <row r="29" spans="1:3" ht="24.75" customHeight="1">
      <c r="A29" s="48"/>
      <c r="B29" s="21" t="s">
        <v>28</v>
      </c>
      <c r="C29" s="10"/>
    </row>
    <row r="30" spans="1:3" ht="24.75" customHeight="1">
      <c r="A30" s="48"/>
      <c r="B30" s="21" t="s">
        <v>27</v>
      </c>
      <c r="C30" s="10"/>
    </row>
    <row r="31" spans="1:3" ht="24.75" customHeight="1">
      <c r="A31" s="8"/>
      <c r="B31" s="9" t="s">
        <v>7</v>
      </c>
      <c r="C31" s="10"/>
    </row>
    <row r="32" spans="1:3" ht="24.75" customHeight="1">
      <c r="A32" s="8"/>
      <c r="B32" s="9" t="s">
        <v>8</v>
      </c>
      <c r="C32" s="10"/>
    </row>
    <row r="33" spans="1:3" s="30" customFormat="1" ht="24.75" customHeight="1">
      <c r="A33" s="8"/>
      <c r="B33" s="9" t="s">
        <v>9</v>
      </c>
      <c r="C33" s="29"/>
    </row>
    <row r="34" spans="1:3" ht="24.75" customHeight="1">
      <c r="A34" s="27" t="s">
        <v>34</v>
      </c>
      <c r="B34" s="28" t="s">
        <v>39</v>
      </c>
      <c r="C34" s="7">
        <f>SUM(C35:C37)</f>
        <v>130043370</v>
      </c>
    </row>
    <row r="35" spans="1:3" ht="24.75" customHeight="1">
      <c r="A35" s="8" t="s">
        <v>40</v>
      </c>
      <c r="B35" s="9" t="s">
        <v>21</v>
      </c>
      <c r="C35" s="89"/>
    </row>
    <row r="36" spans="1:3" ht="24.75" customHeight="1">
      <c r="A36" s="8"/>
      <c r="B36" s="9" t="s">
        <v>7</v>
      </c>
      <c r="C36" s="90">
        <v>130043370</v>
      </c>
    </row>
    <row r="37" spans="1:3" ht="24.75" customHeight="1">
      <c r="A37" s="8"/>
      <c r="B37" s="9" t="s">
        <v>95</v>
      </c>
      <c r="C37" s="62"/>
    </row>
    <row r="38" spans="1:3" ht="24.75" customHeight="1">
      <c r="A38" s="14"/>
      <c r="B38" s="15" t="s">
        <v>71</v>
      </c>
      <c r="C38" s="49"/>
    </row>
    <row r="39" spans="1:2" ht="18.75" customHeight="1">
      <c r="A39" s="22"/>
      <c r="B39" s="23"/>
    </row>
    <row r="40" spans="3:5" ht="16.5">
      <c r="C40" s="33" t="s">
        <v>105</v>
      </c>
      <c r="D40" s="40"/>
      <c r="E40" s="40"/>
    </row>
    <row r="41" spans="3:5" ht="21.75" customHeight="1">
      <c r="C41" s="11" t="s">
        <v>60</v>
      </c>
      <c r="D41" s="19"/>
      <c r="E41" s="19"/>
    </row>
    <row r="42" spans="3:5" ht="15.75">
      <c r="C42" s="36"/>
      <c r="D42" s="1"/>
      <c r="E42" s="1"/>
    </row>
    <row r="43" spans="3:5" ht="15.75">
      <c r="C43" s="36"/>
      <c r="D43" s="1"/>
      <c r="E43" s="1"/>
    </row>
    <row r="44" spans="3:5" ht="15.75">
      <c r="C44" s="36"/>
      <c r="D44" s="1"/>
      <c r="E44" s="1"/>
    </row>
    <row r="45" spans="3:5" ht="15.75">
      <c r="C45" s="36" t="s">
        <v>100</v>
      </c>
      <c r="D45" s="1"/>
      <c r="E45" s="1"/>
    </row>
    <row r="46" spans="3:5" ht="15.75">
      <c r="C46" s="36"/>
      <c r="D46" s="1"/>
      <c r="E46" s="1"/>
    </row>
    <row r="47" spans="3:5" ht="15.75">
      <c r="C47" s="36"/>
      <c r="D47" s="1"/>
      <c r="E47" s="1"/>
    </row>
    <row r="48" spans="3:5" ht="15.75">
      <c r="C48" s="36"/>
      <c r="D48" s="1"/>
      <c r="E48" s="1"/>
    </row>
    <row r="49" spans="2:5" ht="15.75">
      <c r="B49" s="59" t="s">
        <v>74</v>
      </c>
      <c r="C49" s="36"/>
      <c r="D49" s="1"/>
      <c r="E49" s="1"/>
    </row>
    <row r="50" spans="3:5" ht="15.75">
      <c r="C50" s="36"/>
      <c r="D50" s="1"/>
      <c r="E50" s="1"/>
    </row>
    <row r="51" spans="3:5" ht="15.75">
      <c r="C51" s="36"/>
      <c r="D51" s="1"/>
      <c r="E51" s="1"/>
    </row>
    <row r="52" spans="3:5" ht="15.75">
      <c r="C52" s="36"/>
      <c r="D52" s="1"/>
      <c r="E52" s="1"/>
    </row>
    <row r="53" spans="3:5" ht="16.5">
      <c r="C53" s="18"/>
      <c r="D53" s="41"/>
      <c r="E53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75" zoomScaleNormal="75" zoomScalePageLayoutView="0" workbookViewId="0" topLeftCell="A1">
      <selection activeCell="A5" sqref="A5:C5"/>
    </sheetView>
  </sheetViews>
  <sheetFormatPr defaultColWidth="8.796875" defaultRowHeight="15"/>
  <cols>
    <col min="1" max="1" width="8.296875" style="0" customWidth="1"/>
    <col min="2" max="2" width="50.3984375" style="0" customWidth="1"/>
    <col min="3" max="3" width="26.796875" style="0" customWidth="1"/>
    <col min="5" max="6" width="13.69921875" style="0" customWidth="1"/>
  </cols>
  <sheetData>
    <row r="1" ht="15.75">
      <c r="A1" s="133" t="s">
        <v>147</v>
      </c>
    </row>
    <row r="2" spans="1:3" ht="23.25" customHeight="1">
      <c r="A2" s="19" t="s">
        <v>148</v>
      </c>
      <c r="B2" s="32"/>
      <c r="C2" s="35"/>
    </row>
    <row r="3" spans="1:3" ht="21" customHeight="1">
      <c r="A3" s="17" t="s">
        <v>79</v>
      </c>
      <c r="B3" s="38"/>
      <c r="C3" s="26"/>
    </row>
    <row r="4" spans="1:3" ht="22.5" customHeight="1">
      <c r="A4" s="164" t="s">
        <v>152</v>
      </c>
      <c r="B4" s="164"/>
      <c r="C4" s="164"/>
    </row>
    <row r="5" spans="1:7" ht="21" customHeight="1">
      <c r="A5" s="165" t="s">
        <v>104</v>
      </c>
      <c r="B5" s="165"/>
      <c r="C5" s="165"/>
      <c r="D5" s="39"/>
      <c r="E5" s="39"/>
      <c r="F5" s="39"/>
      <c r="G5" s="39"/>
    </row>
    <row r="6" spans="1:3" ht="21.75" customHeight="1">
      <c r="A6" s="1"/>
      <c r="B6" s="1"/>
      <c r="C6" s="25" t="s">
        <v>58</v>
      </c>
    </row>
    <row r="7" spans="1:3" ht="27.75" customHeight="1">
      <c r="A7" s="13" t="s">
        <v>0</v>
      </c>
      <c r="B7" s="13" t="s">
        <v>5</v>
      </c>
      <c r="C7" s="13" t="s">
        <v>10</v>
      </c>
    </row>
    <row r="8" spans="1:3" ht="24.75" customHeight="1">
      <c r="A8" s="2" t="s">
        <v>1</v>
      </c>
      <c r="B8" s="3" t="s">
        <v>73</v>
      </c>
      <c r="C8" s="4"/>
    </row>
    <row r="9" spans="1:3" ht="24.75" customHeight="1">
      <c r="A9" s="5" t="s">
        <v>2</v>
      </c>
      <c r="B9" s="6" t="s">
        <v>31</v>
      </c>
      <c r="C9" s="7"/>
    </row>
    <row r="10" spans="1:3" ht="24.75" customHeight="1">
      <c r="A10" s="8">
        <v>1</v>
      </c>
      <c r="B10" s="9" t="s">
        <v>33</v>
      </c>
      <c r="C10" s="7"/>
    </row>
    <row r="11" spans="1:3" ht="24.75" customHeight="1">
      <c r="A11" s="8">
        <v>2</v>
      </c>
      <c r="B11" s="9" t="s">
        <v>35</v>
      </c>
      <c r="C11" s="10"/>
    </row>
    <row r="12" spans="1:5" ht="24.75" customHeight="1">
      <c r="A12" s="5" t="s">
        <v>3</v>
      </c>
      <c r="B12" s="6" t="s">
        <v>149</v>
      </c>
      <c r="C12" s="10"/>
      <c r="E12">
        <v>38962</v>
      </c>
    </row>
    <row r="13" spans="1:5" ht="24.75" customHeight="1">
      <c r="A13" s="8" t="s">
        <v>17</v>
      </c>
      <c r="B13" s="43" t="s">
        <v>49</v>
      </c>
      <c r="C13" s="7"/>
      <c r="E13">
        <v>229876</v>
      </c>
    </row>
    <row r="14" spans="1:5" ht="24.75" customHeight="1">
      <c r="A14" s="8" t="s">
        <v>18</v>
      </c>
      <c r="B14" s="44" t="s">
        <v>50</v>
      </c>
      <c r="C14" s="29"/>
      <c r="E14">
        <v>502610</v>
      </c>
    </row>
    <row r="15" spans="1:5" ht="24.75" customHeight="1">
      <c r="A15" s="5" t="s">
        <v>4</v>
      </c>
      <c r="B15" s="6" t="s">
        <v>72</v>
      </c>
      <c r="C15" s="137">
        <f>C16</f>
        <v>1.572</v>
      </c>
      <c r="E15">
        <v>1870176</v>
      </c>
    </row>
    <row r="16" spans="1:5" ht="24.75" customHeight="1">
      <c r="A16" s="5">
        <v>1</v>
      </c>
      <c r="B16" s="6" t="s">
        <v>37</v>
      </c>
      <c r="C16" s="137">
        <f>C19+C31</f>
        <v>1.572</v>
      </c>
      <c r="E16" s="101">
        <f>SUM(E12:E15)</f>
        <v>2641624</v>
      </c>
    </row>
    <row r="17" spans="1:3" ht="24.75" customHeight="1">
      <c r="A17" s="5">
        <v>2</v>
      </c>
      <c r="B17" s="6" t="s">
        <v>150</v>
      </c>
      <c r="C17" s="7"/>
    </row>
    <row r="18" spans="1:3" ht="24.75" customHeight="1">
      <c r="A18" s="5">
        <v>3</v>
      </c>
      <c r="B18" s="6" t="s">
        <v>149</v>
      </c>
      <c r="C18" s="7"/>
    </row>
    <row r="19" spans="1:3" ht="24.75" customHeight="1">
      <c r="A19" s="27">
        <v>3.1</v>
      </c>
      <c r="B19" s="28" t="s">
        <v>151</v>
      </c>
      <c r="C19" s="136">
        <f>SUM(C20:C30)</f>
        <v>0</v>
      </c>
    </row>
    <row r="20" spans="1:3" ht="24.75" customHeight="1">
      <c r="A20" s="8"/>
      <c r="B20" s="9" t="s">
        <v>15</v>
      </c>
      <c r="C20" s="10"/>
    </row>
    <row r="21" spans="1:3" ht="24.75" customHeight="1">
      <c r="A21" s="8"/>
      <c r="B21" s="9" t="s">
        <v>6</v>
      </c>
      <c r="C21" s="135"/>
    </row>
    <row r="22" spans="1:3" ht="24.75" customHeight="1">
      <c r="A22" s="8"/>
      <c r="B22" s="9" t="s">
        <v>24</v>
      </c>
      <c r="C22" s="10"/>
    </row>
    <row r="23" spans="1:3" ht="24.75" customHeight="1">
      <c r="A23" s="48"/>
      <c r="B23" s="21" t="s">
        <v>25</v>
      </c>
      <c r="C23" s="10"/>
    </row>
    <row r="24" spans="1:3" ht="24.75" customHeight="1">
      <c r="A24" s="48"/>
      <c r="B24" s="21" t="s">
        <v>28</v>
      </c>
      <c r="C24" s="135"/>
    </row>
    <row r="25" spans="1:3" ht="24.75" customHeight="1">
      <c r="A25" s="48"/>
      <c r="B25" s="21" t="s">
        <v>81</v>
      </c>
      <c r="C25" s="135"/>
    </row>
    <row r="26" spans="1:3" ht="24.75" customHeight="1">
      <c r="A26" s="48"/>
      <c r="B26" s="21" t="s">
        <v>86</v>
      </c>
      <c r="C26" s="135"/>
    </row>
    <row r="27" spans="1:3" ht="24.75" customHeight="1">
      <c r="A27" s="48"/>
      <c r="B27" s="21" t="s">
        <v>27</v>
      </c>
      <c r="C27" s="10"/>
    </row>
    <row r="28" spans="1:3" ht="24.75" customHeight="1">
      <c r="A28" s="8"/>
      <c r="B28" s="9" t="s">
        <v>7</v>
      </c>
      <c r="C28" s="135"/>
    </row>
    <row r="29" spans="1:3" ht="24.75" customHeight="1">
      <c r="A29" s="8"/>
      <c r="B29" s="9" t="s">
        <v>8</v>
      </c>
      <c r="C29" s="134"/>
    </row>
    <row r="30" spans="1:3" s="30" customFormat="1" ht="24.75" customHeight="1">
      <c r="A30" s="8"/>
      <c r="B30" s="9" t="s">
        <v>9</v>
      </c>
      <c r="C30" s="10"/>
    </row>
    <row r="31" spans="1:3" ht="24.75" customHeight="1">
      <c r="A31" s="27" t="s">
        <v>34</v>
      </c>
      <c r="B31" s="28" t="s">
        <v>50</v>
      </c>
      <c r="C31" s="137">
        <f>SUM(C32:C32)</f>
        <v>1.572</v>
      </c>
    </row>
    <row r="32" spans="1:3" ht="24.75" customHeight="1">
      <c r="A32" s="8"/>
      <c r="B32" s="9" t="s">
        <v>7</v>
      </c>
      <c r="C32" s="135">
        <v>1.572</v>
      </c>
    </row>
    <row r="33" spans="1:3" ht="24.75" customHeight="1">
      <c r="A33" s="14"/>
      <c r="B33" s="15" t="s">
        <v>71</v>
      </c>
      <c r="C33" s="49"/>
    </row>
    <row r="34" spans="3:5" ht="15.75">
      <c r="C34" s="36"/>
      <c r="D34" s="1"/>
      <c r="E34" s="1"/>
    </row>
    <row r="35" spans="2:5" ht="15.75">
      <c r="B35" s="59" t="s">
        <v>74</v>
      </c>
      <c r="C35" s="36"/>
      <c r="D35" s="1"/>
      <c r="E35" s="1"/>
    </row>
    <row r="36" spans="3:5" ht="15.75">
      <c r="C36" s="36"/>
      <c r="D36" s="1"/>
      <c r="E36" s="1"/>
    </row>
    <row r="37" spans="3:5" ht="15.75">
      <c r="C37" s="36"/>
      <c r="D37" s="1"/>
      <c r="E37" s="1"/>
    </row>
    <row r="38" spans="3:5" ht="15.75">
      <c r="C38" s="36"/>
      <c r="D38" s="1"/>
      <c r="E38" s="1"/>
    </row>
    <row r="39" spans="3:5" ht="16.5">
      <c r="C39" s="18"/>
      <c r="D39" s="41"/>
      <c r="E39" s="41"/>
    </row>
  </sheetData>
  <sheetProtection/>
  <mergeCells count="2">
    <mergeCell ref="A4:C4"/>
    <mergeCell ref="A5:C5"/>
  </mergeCells>
  <printOptions/>
  <pageMargins left="0.75" right="0.25" top="0.75" bottom="0.2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selection activeCell="F10" sqref="F10"/>
    </sheetView>
  </sheetViews>
  <sheetFormatPr defaultColWidth="8.796875" defaultRowHeight="15"/>
  <cols>
    <col min="1" max="1" width="8.296875" style="0" customWidth="1"/>
    <col min="2" max="2" width="50.3984375" style="0" customWidth="1"/>
    <col min="3" max="3" width="26.796875" style="0" customWidth="1"/>
    <col min="5" max="6" width="13.6992187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38"/>
      <c r="C2" s="26" t="s">
        <v>30</v>
      </c>
    </row>
    <row r="3" spans="1:3" ht="22.5" customHeight="1">
      <c r="A3" s="164" t="s">
        <v>141</v>
      </c>
      <c r="B3" s="164"/>
      <c r="C3" s="164"/>
    </row>
    <row r="4" spans="1:7" ht="21" customHeight="1">
      <c r="A4" s="165" t="s">
        <v>104</v>
      </c>
      <c r="B4" s="165"/>
      <c r="C4" s="165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31</v>
      </c>
      <c r="C8" s="7"/>
    </row>
    <row r="9" spans="1:3" ht="24.75" customHeight="1">
      <c r="A9" s="8" t="s">
        <v>32</v>
      </c>
      <c r="B9" s="9" t="s">
        <v>33</v>
      </c>
      <c r="C9" s="7"/>
    </row>
    <row r="10" spans="1:3" ht="24.75" customHeight="1">
      <c r="A10" s="8" t="s">
        <v>34</v>
      </c>
      <c r="B10" s="9" t="s">
        <v>35</v>
      </c>
      <c r="C10" s="10"/>
    </row>
    <row r="11" spans="1:3" ht="24.75" customHeight="1">
      <c r="A11" s="5">
        <v>2</v>
      </c>
      <c r="B11" s="6" t="s">
        <v>36</v>
      </c>
      <c r="C11" s="10"/>
    </row>
    <row r="12" spans="1:3" ht="24.75" customHeight="1">
      <c r="A12" s="8" t="s">
        <v>65</v>
      </c>
      <c r="B12" s="9" t="s">
        <v>66</v>
      </c>
      <c r="C12" s="7"/>
    </row>
    <row r="13" spans="1:3" ht="24.75" customHeight="1">
      <c r="A13" s="8" t="s">
        <v>17</v>
      </c>
      <c r="B13" s="43" t="s">
        <v>49</v>
      </c>
      <c r="C13" s="7"/>
    </row>
    <row r="14" spans="1:3" ht="24.75" customHeight="1">
      <c r="A14" s="8" t="s">
        <v>18</v>
      </c>
      <c r="B14" s="44" t="s">
        <v>50</v>
      </c>
      <c r="C14" s="29"/>
    </row>
    <row r="15" spans="1:3" ht="24.75" customHeight="1">
      <c r="A15" s="8" t="s">
        <v>67</v>
      </c>
      <c r="B15" s="44" t="s">
        <v>37</v>
      </c>
      <c r="C15" s="10"/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7">
        <f>C22</f>
        <v>-199000000</v>
      </c>
    </row>
    <row r="22" spans="1:3" ht="24.75" customHeight="1">
      <c r="A22" s="5">
        <v>1</v>
      </c>
      <c r="B22" s="6" t="s">
        <v>37</v>
      </c>
      <c r="C22" s="7">
        <f>C23+C34</f>
        <v>-199000000</v>
      </c>
    </row>
    <row r="23" spans="1:3" ht="24.75" customHeight="1">
      <c r="A23" s="27" t="s">
        <v>32</v>
      </c>
      <c r="B23" s="28" t="s">
        <v>38</v>
      </c>
      <c r="C23" s="7">
        <f>SUM(C24:C33)</f>
        <v>-199000000</v>
      </c>
    </row>
    <row r="24" spans="1:3" ht="24.75" customHeight="1">
      <c r="A24" s="8"/>
      <c r="B24" s="9" t="s">
        <v>15</v>
      </c>
      <c r="C24" s="10"/>
    </row>
    <row r="25" spans="1:3" ht="24.75" customHeight="1">
      <c r="A25" s="8"/>
      <c r="B25" s="9" t="s">
        <v>6</v>
      </c>
      <c r="C25" s="10">
        <v>-199000000</v>
      </c>
    </row>
    <row r="26" spans="1:3" ht="24.75" customHeight="1">
      <c r="A26" s="8"/>
      <c r="B26" s="9" t="s">
        <v>24</v>
      </c>
      <c r="C26" s="10"/>
    </row>
    <row r="27" spans="1:3" ht="24.75" customHeight="1">
      <c r="A27" s="48"/>
      <c r="B27" s="21" t="s">
        <v>25</v>
      </c>
      <c r="C27" s="10"/>
    </row>
    <row r="28" spans="1:3" ht="24.75" customHeight="1">
      <c r="A28" s="48"/>
      <c r="B28" s="21" t="s">
        <v>26</v>
      </c>
      <c r="C28" s="10"/>
    </row>
    <row r="29" spans="1:3" ht="24.75" customHeight="1">
      <c r="A29" s="48"/>
      <c r="B29" s="21" t="s">
        <v>28</v>
      </c>
      <c r="C29" s="10"/>
    </row>
    <row r="30" spans="1:3" ht="24.75" customHeight="1">
      <c r="A30" s="48"/>
      <c r="B30" s="21" t="s">
        <v>27</v>
      </c>
      <c r="C30" s="10"/>
    </row>
    <row r="31" spans="1:3" ht="24.75" customHeight="1">
      <c r="A31" s="8"/>
      <c r="B31" s="9" t="s">
        <v>7</v>
      </c>
      <c r="C31" s="10"/>
    </row>
    <row r="32" spans="1:3" ht="24.75" customHeight="1">
      <c r="A32" s="8"/>
      <c r="B32" s="9" t="s">
        <v>8</v>
      </c>
      <c r="C32" s="10"/>
    </row>
    <row r="33" spans="1:3" s="30" customFormat="1" ht="24.75" customHeight="1">
      <c r="A33" s="8"/>
      <c r="B33" s="9" t="s">
        <v>9</v>
      </c>
      <c r="C33" s="29"/>
    </row>
    <row r="34" spans="1:3" ht="24.75" customHeight="1">
      <c r="A34" s="27" t="s">
        <v>34</v>
      </c>
      <c r="B34" s="28" t="s">
        <v>39</v>
      </c>
      <c r="C34" s="7">
        <f>SUM(C35:C37)</f>
        <v>0</v>
      </c>
    </row>
    <row r="35" spans="1:3" ht="24.75" customHeight="1">
      <c r="A35" s="8" t="s">
        <v>40</v>
      </c>
      <c r="B35" s="9" t="s">
        <v>21</v>
      </c>
      <c r="C35" s="89"/>
    </row>
    <row r="36" spans="1:3" ht="24.75" customHeight="1">
      <c r="A36" s="8"/>
      <c r="B36" s="9" t="s">
        <v>7</v>
      </c>
      <c r="C36" s="90"/>
    </row>
    <row r="37" spans="1:3" ht="24.75" customHeight="1">
      <c r="A37" s="8"/>
      <c r="B37" s="9" t="s">
        <v>95</v>
      </c>
      <c r="C37" s="62"/>
    </row>
    <row r="38" spans="1:3" ht="24.75" customHeight="1">
      <c r="A38" s="14"/>
      <c r="B38" s="15" t="s">
        <v>71</v>
      </c>
      <c r="C38" s="49"/>
    </row>
    <row r="39" spans="1:2" ht="18.75" customHeight="1">
      <c r="A39" s="22"/>
      <c r="B39" s="23"/>
    </row>
    <row r="40" spans="3:5" ht="16.5">
      <c r="C40" s="33" t="s">
        <v>105</v>
      </c>
      <c r="D40" s="40"/>
      <c r="E40" s="40"/>
    </row>
    <row r="41" spans="3:5" ht="21.75" customHeight="1">
      <c r="C41" s="11" t="s">
        <v>60</v>
      </c>
      <c r="D41" s="19"/>
      <c r="E41" s="19"/>
    </row>
    <row r="42" spans="3:5" ht="15.75">
      <c r="C42" s="36"/>
      <c r="D42" s="1"/>
      <c r="E42" s="1"/>
    </row>
    <row r="43" spans="3:5" ht="15.75">
      <c r="C43" s="36"/>
      <c r="D43" s="1"/>
      <c r="E43" s="1"/>
    </row>
    <row r="44" spans="3:5" ht="15.75">
      <c r="C44" s="36"/>
      <c r="D44" s="1"/>
      <c r="E44" s="1"/>
    </row>
    <row r="45" spans="3:5" ht="15.75">
      <c r="C45" s="11" t="s">
        <v>100</v>
      </c>
      <c r="D45" s="1"/>
      <c r="E45" s="1"/>
    </row>
    <row r="46" spans="3:5" ht="15.75">
      <c r="C46" s="36"/>
      <c r="D46" s="1"/>
      <c r="E46" s="1"/>
    </row>
    <row r="47" spans="3:5" ht="15.75">
      <c r="C47" s="36"/>
      <c r="D47" s="1"/>
      <c r="E47" s="1"/>
    </row>
    <row r="48" spans="3:5" ht="15.75">
      <c r="C48" s="36"/>
      <c r="D48" s="1"/>
      <c r="E48" s="1"/>
    </row>
    <row r="49" spans="2:5" ht="15.75">
      <c r="B49" s="59" t="s">
        <v>74</v>
      </c>
      <c r="C49" s="36"/>
      <c r="D49" s="1"/>
      <c r="E49" s="1"/>
    </row>
    <row r="50" spans="3:5" ht="15.75">
      <c r="C50" s="36"/>
      <c r="D50" s="1"/>
      <c r="E50" s="1"/>
    </row>
    <row r="51" spans="3:5" ht="15.75">
      <c r="C51" s="36"/>
      <c r="D51" s="1"/>
      <c r="E51" s="1"/>
    </row>
    <row r="52" spans="3:5" ht="15.75">
      <c r="C52" s="36"/>
      <c r="D52" s="1"/>
      <c r="E52" s="1"/>
    </row>
    <row r="53" spans="3:5" ht="16.5">
      <c r="C53" s="18"/>
      <c r="D53" s="41"/>
      <c r="E53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selection activeCell="C37" sqref="C37"/>
    </sheetView>
  </sheetViews>
  <sheetFormatPr defaultColWidth="8.796875" defaultRowHeight="15"/>
  <cols>
    <col min="1" max="1" width="8.296875" style="0" customWidth="1"/>
    <col min="2" max="2" width="50.3984375" style="0" customWidth="1"/>
    <col min="3" max="3" width="26.796875" style="0" customWidth="1"/>
    <col min="5" max="6" width="13.6992187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38"/>
      <c r="C2" s="26" t="s">
        <v>30</v>
      </c>
    </row>
    <row r="3" spans="1:3" ht="22.5" customHeight="1">
      <c r="A3" s="164" t="s">
        <v>96</v>
      </c>
      <c r="B3" s="164"/>
      <c r="C3" s="164"/>
    </row>
    <row r="4" spans="1:7" ht="21" customHeight="1">
      <c r="A4" s="165" t="s">
        <v>104</v>
      </c>
      <c r="B4" s="165"/>
      <c r="C4" s="165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31</v>
      </c>
      <c r="C8" s="7"/>
    </row>
    <row r="9" spans="1:3" ht="24.75" customHeight="1">
      <c r="A9" s="8" t="s">
        <v>32</v>
      </c>
      <c r="B9" s="9" t="s">
        <v>33</v>
      </c>
      <c r="C9" s="7"/>
    </row>
    <row r="10" spans="1:3" ht="24.75" customHeight="1">
      <c r="A10" s="8" t="s">
        <v>34</v>
      </c>
      <c r="B10" s="9" t="s">
        <v>35</v>
      </c>
      <c r="C10" s="10"/>
    </row>
    <row r="11" spans="1:3" ht="24.75" customHeight="1">
      <c r="A11" s="5">
        <v>2</v>
      </c>
      <c r="B11" s="6" t="s">
        <v>36</v>
      </c>
      <c r="C11" s="10"/>
    </row>
    <row r="12" spans="1:3" ht="24.75" customHeight="1">
      <c r="A12" s="8" t="s">
        <v>65</v>
      </c>
      <c r="B12" s="9" t="s">
        <v>66</v>
      </c>
      <c r="C12" s="7"/>
    </row>
    <row r="13" spans="1:3" ht="24.75" customHeight="1">
      <c r="A13" s="8" t="s">
        <v>17</v>
      </c>
      <c r="B13" s="43" t="s">
        <v>49</v>
      </c>
      <c r="C13" s="7"/>
    </row>
    <row r="14" spans="1:3" ht="24.75" customHeight="1">
      <c r="A14" s="8" t="s">
        <v>18</v>
      </c>
      <c r="B14" s="44" t="s">
        <v>50</v>
      </c>
      <c r="C14" s="29"/>
    </row>
    <row r="15" spans="1:3" ht="24.75" customHeight="1">
      <c r="A15" s="8" t="s">
        <v>67</v>
      </c>
      <c r="B15" s="44" t="s">
        <v>37</v>
      </c>
      <c r="C15" s="10"/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7">
        <f>C22</f>
        <v>3858000</v>
      </c>
    </row>
    <row r="22" spans="1:3" ht="24.75" customHeight="1">
      <c r="A22" s="5">
        <v>1</v>
      </c>
      <c r="B22" s="6" t="s">
        <v>37</v>
      </c>
      <c r="C22" s="7">
        <f>C23+C34</f>
        <v>3858000</v>
      </c>
    </row>
    <row r="23" spans="1:3" ht="24.75" customHeight="1">
      <c r="A23" s="27" t="s">
        <v>32</v>
      </c>
      <c r="B23" s="28" t="s">
        <v>38</v>
      </c>
      <c r="C23" s="7">
        <f>SUM(C24:C33)</f>
        <v>0</v>
      </c>
    </row>
    <row r="24" spans="1:3" ht="24.75" customHeight="1">
      <c r="A24" s="8"/>
      <c r="B24" s="9" t="s">
        <v>15</v>
      </c>
      <c r="C24" s="10"/>
    </row>
    <row r="25" spans="1:3" ht="24.75" customHeight="1">
      <c r="A25" s="8"/>
      <c r="B25" s="9" t="s">
        <v>6</v>
      </c>
      <c r="C25" s="10"/>
    </row>
    <row r="26" spans="1:3" ht="24.75" customHeight="1">
      <c r="A26" s="8"/>
      <c r="B26" s="9" t="s">
        <v>24</v>
      </c>
      <c r="C26" s="10"/>
    </row>
    <row r="27" spans="1:3" ht="24.75" customHeight="1">
      <c r="A27" s="48"/>
      <c r="B27" s="21" t="s">
        <v>25</v>
      </c>
      <c r="C27" s="10"/>
    </row>
    <row r="28" spans="1:3" ht="24.75" customHeight="1">
      <c r="A28" s="48"/>
      <c r="B28" s="21" t="s">
        <v>26</v>
      </c>
      <c r="C28" s="10"/>
    </row>
    <row r="29" spans="1:3" ht="24.75" customHeight="1">
      <c r="A29" s="48"/>
      <c r="B29" s="21" t="s">
        <v>28</v>
      </c>
      <c r="C29" s="10"/>
    </row>
    <row r="30" spans="1:3" ht="24.75" customHeight="1">
      <c r="A30" s="48"/>
      <c r="B30" s="21" t="s">
        <v>27</v>
      </c>
      <c r="C30" s="10"/>
    </row>
    <row r="31" spans="1:3" ht="24.75" customHeight="1">
      <c r="A31" s="8"/>
      <c r="B31" s="9" t="s">
        <v>7</v>
      </c>
      <c r="C31" s="10"/>
    </row>
    <row r="32" spans="1:3" ht="24.75" customHeight="1">
      <c r="A32" s="8"/>
      <c r="B32" s="9" t="s">
        <v>8</v>
      </c>
      <c r="C32" s="10"/>
    </row>
    <row r="33" spans="1:3" s="30" customFormat="1" ht="24.75" customHeight="1">
      <c r="A33" s="8"/>
      <c r="B33" s="9" t="s">
        <v>9</v>
      </c>
      <c r="C33" s="29"/>
    </row>
    <row r="34" spans="1:3" ht="24.75" customHeight="1">
      <c r="A34" s="27" t="s">
        <v>34</v>
      </c>
      <c r="B34" s="28" t="s">
        <v>39</v>
      </c>
      <c r="C34" s="7">
        <f>SUM(C35:C37)</f>
        <v>3858000</v>
      </c>
    </row>
    <row r="35" spans="1:3" ht="24.75" customHeight="1">
      <c r="A35" s="8" t="s">
        <v>40</v>
      </c>
      <c r="B35" s="9" t="s">
        <v>21</v>
      </c>
      <c r="C35" s="89"/>
    </row>
    <row r="36" spans="1:3" ht="24.75" customHeight="1">
      <c r="A36" s="8"/>
      <c r="B36" s="9" t="s">
        <v>7</v>
      </c>
      <c r="C36" s="90">
        <v>3858000</v>
      </c>
    </row>
    <row r="37" spans="1:3" ht="24.75" customHeight="1">
      <c r="A37" s="8"/>
      <c r="B37" s="9" t="s">
        <v>95</v>
      </c>
      <c r="C37" s="62"/>
    </row>
    <row r="38" spans="1:3" ht="24.75" customHeight="1">
      <c r="A38" s="14"/>
      <c r="B38" s="15" t="s">
        <v>71</v>
      </c>
      <c r="C38" s="49"/>
    </row>
    <row r="39" spans="1:2" ht="18.75" customHeight="1">
      <c r="A39" s="22"/>
      <c r="B39" s="23"/>
    </row>
    <row r="40" spans="3:5" ht="16.5">
      <c r="C40" s="33" t="s">
        <v>90</v>
      </c>
      <c r="D40" s="40"/>
      <c r="E40" s="40"/>
    </row>
    <row r="41" spans="3:5" ht="21.75" customHeight="1">
      <c r="C41" s="11" t="s">
        <v>60</v>
      </c>
      <c r="D41" s="19"/>
      <c r="E41" s="19"/>
    </row>
    <row r="42" spans="3:5" ht="15.75">
      <c r="C42" s="36"/>
      <c r="D42" s="1"/>
      <c r="E42" s="1"/>
    </row>
    <row r="43" spans="3:5" ht="15.75">
      <c r="C43" s="36"/>
      <c r="D43" s="1"/>
      <c r="E43" s="1"/>
    </row>
    <row r="44" spans="3:5" ht="15.75">
      <c r="C44" s="36"/>
      <c r="D44" s="1"/>
      <c r="E44" s="1"/>
    </row>
    <row r="45" spans="3:5" ht="15.75">
      <c r="C45" s="36" t="s">
        <v>100</v>
      </c>
      <c r="D45" s="1"/>
      <c r="E45" s="1"/>
    </row>
    <row r="46" spans="3:5" ht="15.75">
      <c r="C46" s="36"/>
      <c r="D46" s="1"/>
      <c r="E46" s="1"/>
    </row>
    <row r="47" spans="3:5" ht="15.75">
      <c r="C47" s="36"/>
      <c r="D47" s="1"/>
      <c r="E47" s="1"/>
    </row>
    <row r="48" spans="3:5" ht="15.75">
      <c r="C48" s="36"/>
      <c r="D48" s="1"/>
      <c r="E48" s="1"/>
    </row>
    <row r="49" spans="2:5" ht="15.75">
      <c r="B49" s="59" t="s">
        <v>74</v>
      </c>
      <c r="C49" s="36"/>
      <c r="D49" s="1"/>
      <c r="E49" s="1"/>
    </row>
    <row r="50" spans="3:5" ht="15.75">
      <c r="C50" s="36"/>
      <c r="D50" s="1"/>
      <c r="E50" s="1"/>
    </row>
    <row r="51" spans="3:5" ht="15.75">
      <c r="C51" s="36"/>
      <c r="D51" s="1"/>
      <c r="E51" s="1"/>
    </row>
    <row r="52" spans="3:5" ht="15.75">
      <c r="C52" s="36"/>
      <c r="D52" s="1"/>
      <c r="E52" s="1"/>
    </row>
    <row r="53" spans="3:5" ht="16.5">
      <c r="C53" s="18"/>
      <c r="D53" s="41"/>
      <c r="E53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selection activeCell="G7" sqref="G7"/>
    </sheetView>
  </sheetViews>
  <sheetFormatPr defaultColWidth="8.796875" defaultRowHeight="15"/>
  <cols>
    <col min="1" max="1" width="8.296875" style="0" customWidth="1"/>
    <col min="2" max="2" width="50.3984375" style="0" customWidth="1"/>
    <col min="3" max="3" width="26.796875" style="0" customWidth="1"/>
    <col min="5" max="6" width="13.6992187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38"/>
      <c r="C2" s="26" t="s">
        <v>30</v>
      </c>
    </row>
    <row r="3" spans="1:3" ht="22.5" customHeight="1">
      <c r="A3" s="164" t="s">
        <v>96</v>
      </c>
      <c r="B3" s="164"/>
      <c r="C3" s="164"/>
    </row>
    <row r="4" spans="1:7" ht="21" customHeight="1">
      <c r="A4" s="165" t="s">
        <v>104</v>
      </c>
      <c r="B4" s="165"/>
      <c r="C4" s="165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31</v>
      </c>
      <c r="C8" s="7"/>
    </row>
    <row r="9" spans="1:3" ht="24.75" customHeight="1">
      <c r="A9" s="8" t="s">
        <v>32</v>
      </c>
      <c r="B9" s="9" t="s">
        <v>33</v>
      </c>
      <c r="C9" s="7"/>
    </row>
    <row r="10" spans="1:3" ht="24.75" customHeight="1">
      <c r="A10" s="8" t="s">
        <v>34</v>
      </c>
      <c r="B10" s="9" t="s">
        <v>35</v>
      </c>
      <c r="C10" s="10"/>
    </row>
    <row r="11" spans="1:3" ht="24.75" customHeight="1">
      <c r="A11" s="5">
        <v>2</v>
      </c>
      <c r="B11" s="6" t="s">
        <v>36</v>
      </c>
      <c r="C11" s="10"/>
    </row>
    <row r="12" spans="1:3" ht="24.75" customHeight="1">
      <c r="A12" s="8" t="s">
        <v>65</v>
      </c>
      <c r="B12" s="9" t="s">
        <v>66</v>
      </c>
      <c r="C12" s="7"/>
    </row>
    <row r="13" spans="1:3" ht="24.75" customHeight="1">
      <c r="A13" s="8" t="s">
        <v>17</v>
      </c>
      <c r="B13" s="43" t="s">
        <v>49</v>
      </c>
      <c r="C13" s="7"/>
    </row>
    <row r="14" spans="1:3" ht="24.75" customHeight="1">
      <c r="A14" s="8" t="s">
        <v>18</v>
      </c>
      <c r="B14" s="44" t="s">
        <v>50</v>
      </c>
      <c r="C14" s="29"/>
    </row>
    <row r="15" spans="1:3" ht="24.75" customHeight="1">
      <c r="A15" s="8" t="s">
        <v>67</v>
      </c>
      <c r="B15" s="44" t="s">
        <v>37</v>
      </c>
      <c r="C15" s="10"/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7">
        <f>C22</f>
        <v>6000000</v>
      </c>
    </row>
    <row r="22" spans="1:3" ht="24.75" customHeight="1">
      <c r="A22" s="5">
        <v>1</v>
      </c>
      <c r="B22" s="6" t="s">
        <v>37</v>
      </c>
      <c r="C22" s="7">
        <f>C23+C34</f>
        <v>6000000</v>
      </c>
    </row>
    <row r="23" spans="1:3" ht="24.75" customHeight="1">
      <c r="A23" s="27" t="s">
        <v>32</v>
      </c>
      <c r="B23" s="28" t="s">
        <v>38</v>
      </c>
      <c r="C23" s="7">
        <f>SUM(C24:C33)</f>
        <v>0</v>
      </c>
    </row>
    <row r="24" spans="1:3" ht="24.75" customHeight="1">
      <c r="A24" s="8"/>
      <c r="B24" s="9" t="s">
        <v>15</v>
      </c>
      <c r="C24" s="10"/>
    </row>
    <row r="25" spans="1:3" ht="24.75" customHeight="1">
      <c r="A25" s="8"/>
      <c r="B25" s="9" t="s">
        <v>6</v>
      </c>
      <c r="C25" s="10"/>
    </row>
    <row r="26" spans="1:3" ht="24.75" customHeight="1">
      <c r="A26" s="8"/>
      <c r="B26" s="9" t="s">
        <v>24</v>
      </c>
      <c r="C26" s="10"/>
    </row>
    <row r="27" spans="1:3" ht="24.75" customHeight="1">
      <c r="A27" s="48"/>
      <c r="B27" s="21" t="s">
        <v>25</v>
      </c>
      <c r="C27" s="10"/>
    </row>
    <row r="28" spans="1:3" ht="24.75" customHeight="1">
      <c r="A28" s="48"/>
      <c r="B28" s="21" t="s">
        <v>26</v>
      </c>
      <c r="C28" s="10"/>
    </row>
    <row r="29" spans="1:3" ht="24.75" customHeight="1">
      <c r="A29" s="48"/>
      <c r="B29" s="21" t="s">
        <v>28</v>
      </c>
      <c r="C29" s="10"/>
    </row>
    <row r="30" spans="1:3" ht="24.75" customHeight="1">
      <c r="A30" s="48"/>
      <c r="B30" s="21" t="s">
        <v>27</v>
      </c>
      <c r="C30" s="10"/>
    </row>
    <row r="31" spans="1:3" ht="24.75" customHeight="1">
      <c r="A31" s="8"/>
      <c r="B31" s="9" t="s">
        <v>7</v>
      </c>
      <c r="C31" s="10"/>
    </row>
    <row r="32" spans="1:3" ht="24.75" customHeight="1">
      <c r="A32" s="8"/>
      <c r="B32" s="9" t="s">
        <v>8</v>
      </c>
      <c r="C32" s="10"/>
    </row>
    <row r="33" spans="1:3" s="30" customFormat="1" ht="24.75" customHeight="1">
      <c r="A33" s="8"/>
      <c r="B33" s="9" t="s">
        <v>9</v>
      </c>
      <c r="C33" s="29"/>
    </row>
    <row r="34" spans="1:3" ht="24.75" customHeight="1">
      <c r="A34" s="27" t="s">
        <v>34</v>
      </c>
      <c r="B34" s="28" t="s">
        <v>39</v>
      </c>
      <c r="C34" s="7">
        <f>SUM(C35:C37)</f>
        <v>6000000</v>
      </c>
    </row>
    <row r="35" spans="1:3" ht="24.75" customHeight="1">
      <c r="A35" s="8" t="s">
        <v>40</v>
      </c>
      <c r="B35" s="9" t="s">
        <v>21</v>
      </c>
      <c r="C35" s="89"/>
    </row>
    <row r="36" spans="1:3" ht="24.75" customHeight="1">
      <c r="A36" s="8"/>
      <c r="B36" s="9" t="s">
        <v>7</v>
      </c>
      <c r="C36" s="90">
        <v>6000000</v>
      </c>
    </row>
    <row r="37" spans="1:3" ht="24.75" customHeight="1">
      <c r="A37" s="8"/>
      <c r="B37" s="9" t="s">
        <v>95</v>
      </c>
      <c r="C37" s="62"/>
    </row>
    <row r="38" spans="1:3" ht="24.75" customHeight="1">
      <c r="A38" s="14"/>
      <c r="B38" s="15" t="s">
        <v>71</v>
      </c>
      <c r="C38" s="49"/>
    </row>
    <row r="39" spans="1:2" ht="18.75" customHeight="1">
      <c r="A39" s="22"/>
      <c r="B39" s="23"/>
    </row>
    <row r="40" spans="3:5" ht="16.5">
      <c r="C40" s="33" t="s">
        <v>90</v>
      </c>
      <c r="D40" s="40"/>
      <c r="E40" s="40"/>
    </row>
    <row r="41" spans="3:5" ht="21.75" customHeight="1">
      <c r="C41" s="11" t="s">
        <v>60</v>
      </c>
      <c r="D41" s="19"/>
      <c r="E41" s="19"/>
    </row>
    <row r="42" spans="3:5" ht="15.75">
      <c r="C42" s="36"/>
      <c r="D42" s="1"/>
      <c r="E42" s="1"/>
    </row>
    <row r="43" spans="3:5" ht="15.75">
      <c r="C43" s="36"/>
      <c r="D43" s="1"/>
      <c r="E43" s="1"/>
    </row>
    <row r="44" spans="3:5" ht="15.75">
      <c r="C44" s="36"/>
      <c r="D44" s="1"/>
      <c r="E44" s="1"/>
    </row>
    <row r="45" spans="3:5" ht="15.75">
      <c r="C45" s="36" t="s">
        <v>100</v>
      </c>
      <c r="D45" s="1"/>
      <c r="E45" s="1"/>
    </row>
    <row r="46" spans="3:5" ht="15.75">
      <c r="C46" s="36"/>
      <c r="D46" s="1"/>
      <c r="E46" s="1"/>
    </row>
    <row r="47" spans="3:5" ht="15.75">
      <c r="C47" s="36"/>
      <c r="D47" s="1"/>
      <c r="E47" s="1"/>
    </row>
    <row r="48" spans="3:5" ht="15.75">
      <c r="C48" s="36"/>
      <c r="D48" s="1"/>
      <c r="E48" s="1"/>
    </row>
    <row r="49" spans="2:5" ht="15.75">
      <c r="B49" s="59" t="s">
        <v>74</v>
      </c>
      <c r="C49" s="36"/>
      <c r="D49" s="1"/>
      <c r="E49" s="1"/>
    </row>
    <row r="50" spans="3:5" ht="15.75">
      <c r="C50" s="36"/>
      <c r="D50" s="1"/>
      <c r="E50" s="1"/>
    </row>
    <row r="51" spans="3:5" ht="15.75">
      <c r="C51" s="36"/>
      <c r="D51" s="1"/>
      <c r="E51" s="1"/>
    </row>
    <row r="52" spans="3:5" ht="15.75">
      <c r="C52" s="36"/>
      <c r="D52" s="1"/>
      <c r="E52" s="1"/>
    </row>
    <row r="53" spans="3:5" ht="16.5">
      <c r="C53" s="18"/>
      <c r="D53" s="41"/>
      <c r="E53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zoomScalePageLayoutView="0" workbookViewId="0" topLeftCell="A1">
      <selection activeCell="C13" sqref="C13"/>
    </sheetView>
  </sheetViews>
  <sheetFormatPr defaultColWidth="8.796875" defaultRowHeight="15"/>
  <cols>
    <col min="1" max="1" width="8.296875" style="0" customWidth="1"/>
    <col min="2" max="2" width="50.3984375" style="0" customWidth="1"/>
    <col min="3" max="3" width="26.796875" style="0" customWidth="1"/>
    <col min="5" max="6" width="13.6992187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78"/>
      <c r="C2" s="78"/>
    </row>
    <row r="3" spans="1:3" ht="34.5" customHeight="1">
      <c r="A3" s="164" t="s">
        <v>98</v>
      </c>
      <c r="B3" s="164"/>
      <c r="C3" s="164"/>
    </row>
    <row r="4" spans="1:7" ht="21" customHeight="1">
      <c r="A4" s="165" t="s">
        <v>101</v>
      </c>
      <c r="B4" s="165"/>
      <c r="C4" s="165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83</v>
      </c>
      <c r="C8" s="7">
        <f>C9+C10</f>
        <v>2702400000</v>
      </c>
    </row>
    <row r="9" spans="1:3" ht="24.75" customHeight="1">
      <c r="A9" s="8" t="s">
        <v>32</v>
      </c>
      <c r="B9" s="9" t="s">
        <v>84</v>
      </c>
      <c r="C9" s="10">
        <v>540000000</v>
      </c>
    </row>
    <row r="10" spans="1:3" ht="24.75" customHeight="1">
      <c r="A10" s="8" t="s">
        <v>34</v>
      </c>
      <c r="B10" s="9" t="s">
        <v>85</v>
      </c>
      <c r="C10" s="10">
        <f>2702400000-C9</f>
        <v>2162400000</v>
      </c>
    </row>
    <row r="11" spans="1:3" ht="24.75" customHeight="1">
      <c r="A11" s="5">
        <v>2</v>
      </c>
      <c r="B11" s="6" t="s">
        <v>36</v>
      </c>
      <c r="C11" s="7">
        <f>C12+C15</f>
        <v>2702400000</v>
      </c>
    </row>
    <row r="12" spans="1:3" ht="24.75" customHeight="1">
      <c r="A12" s="8" t="s">
        <v>65</v>
      </c>
      <c r="B12" s="9" t="s">
        <v>66</v>
      </c>
      <c r="C12" s="10">
        <f>C13+C14</f>
        <v>2702400000</v>
      </c>
    </row>
    <row r="13" spans="1:3" ht="24.75" customHeight="1">
      <c r="A13" s="8" t="s">
        <v>17</v>
      </c>
      <c r="B13" s="43" t="s">
        <v>49</v>
      </c>
      <c r="C13" s="10">
        <f>C10+C9</f>
        <v>2702400000</v>
      </c>
    </row>
    <row r="14" spans="1:3" ht="24.75" customHeight="1">
      <c r="A14" s="8" t="s">
        <v>18</v>
      </c>
      <c r="B14" s="44" t="s">
        <v>50</v>
      </c>
      <c r="C14" s="29"/>
    </row>
    <row r="15" spans="1:7" ht="24.75" customHeight="1">
      <c r="A15" s="8" t="s">
        <v>67</v>
      </c>
      <c r="B15" s="44" t="s">
        <v>37</v>
      </c>
      <c r="C15" s="10">
        <f>C16</f>
        <v>0</v>
      </c>
      <c r="G15">
        <f>21+15</f>
        <v>36</v>
      </c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10"/>
    </row>
    <row r="22" spans="1:5" ht="24.75" customHeight="1">
      <c r="A22" s="27" t="s">
        <v>32</v>
      </c>
      <c r="B22" s="28" t="s">
        <v>38</v>
      </c>
      <c r="C22" s="7">
        <f>SUM(C23:C34)</f>
        <v>6437000000</v>
      </c>
      <c r="E22" s="101"/>
    </row>
    <row r="23" spans="1:3" ht="24.75" customHeight="1">
      <c r="A23" s="8"/>
      <c r="B23" s="9" t="s">
        <v>15</v>
      </c>
      <c r="C23" s="10">
        <v>145000000</v>
      </c>
    </row>
    <row r="24" spans="1:6" ht="24.75" customHeight="1">
      <c r="A24" s="8"/>
      <c r="B24" s="9" t="s">
        <v>6</v>
      </c>
      <c r="C24" s="10">
        <f>2934839600+1080648400+806012000+16000000</f>
        <v>4837500000</v>
      </c>
      <c r="E24" s="77">
        <f>C22-4263465000</f>
        <v>2173535000</v>
      </c>
      <c r="F24" s="77">
        <f>3241465000-C25</f>
        <v>3236965000</v>
      </c>
    </row>
    <row r="25" spans="1:6" ht="24.75" customHeight="1">
      <c r="A25" s="8"/>
      <c r="B25" s="9" t="s">
        <v>24</v>
      </c>
      <c r="C25" s="10">
        <v>4500000</v>
      </c>
      <c r="F25" s="77">
        <f>C24+C25</f>
        <v>4842000000</v>
      </c>
    </row>
    <row r="26" spans="1:6" ht="24.75" customHeight="1">
      <c r="A26" s="8"/>
      <c r="B26" s="9" t="s">
        <v>81</v>
      </c>
      <c r="C26" s="10">
        <v>120620000</v>
      </c>
      <c r="F26" s="77" t="e">
        <f>C26+C27+C28+#REF!+C29+C30+C32+C33</f>
        <v>#REF!</v>
      </c>
    </row>
    <row r="27" spans="1:3" ht="24.75" customHeight="1">
      <c r="A27" s="8"/>
      <c r="B27" s="9" t="s">
        <v>86</v>
      </c>
      <c r="C27" s="10">
        <v>28200000</v>
      </c>
    </row>
    <row r="28" spans="1:11" ht="24.75" customHeight="1">
      <c r="A28" s="48"/>
      <c r="B28" s="21" t="s">
        <v>25</v>
      </c>
      <c r="C28" s="10">
        <v>296000000</v>
      </c>
      <c r="G28">
        <v>4800</v>
      </c>
      <c r="I28">
        <f>I27+G28-H28</f>
        <v>4800</v>
      </c>
      <c r="K28">
        <f>600*5</f>
        <v>3000</v>
      </c>
    </row>
    <row r="29" spans="1:9" ht="24.75" customHeight="1">
      <c r="A29" s="48"/>
      <c r="B29" s="21" t="s">
        <v>28</v>
      </c>
      <c r="C29" s="10">
        <v>162776000</v>
      </c>
      <c r="G29">
        <v>2400</v>
      </c>
      <c r="I29" t="e">
        <f>#REF!+G29-H29</f>
        <v>#REF!</v>
      </c>
    </row>
    <row r="30" spans="1:9" ht="24.75" customHeight="1">
      <c r="A30" s="48"/>
      <c r="B30" s="21" t="s">
        <v>27</v>
      </c>
      <c r="C30" s="10">
        <v>24000000</v>
      </c>
      <c r="H30">
        <v>1800</v>
      </c>
      <c r="I30" t="e">
        <f>I29+G30-H30</f>
        <v>#REF!</v>
      </c>
    </row>
    <row r="31" spans="1:9" ht="24.75" customHeight="1">
      <c r="A31" s="48"/>
      <c r="B31" s="21" t="s">
        <v>26</v>
      </c>
      <c r="C31" s="10">
        <v>123100000</v>
      </c>
      <c r="H31">
        <v>3600</v>
      </c>
      <c r="I31" t="e">
        <f>I30+G31-H31</f>
        <v>#REF!</v>
      </c>
    </row>
    <row r="32" spans="1:9" ht="24.75" customHeight="1">
      <c r="A32" s="8"/>
      <c r="B32" s="9" t="s">
        <v>7</v>
      </c>
      <c r="C32" s="10">
        <v>633004000</v>
      </c>
      <c r="G32">
        <v>4800</v>
      </c>
      <c r="I32" t="e">
        <f>I30+G32-H32</f>
        <v>#REF!</v>
      </c>
    </row>
    <row r="33" spans="1:9" ht="24.75" customHeight="1">
      <c r="A33" s="8"/>
      <c r="B33" s="9" t="s">
        <v>8</v>
      </c>
      <c r="C33" s="10">
        <f>39300000+23000000</f>
        <v>62300000</v>
      </c>
      <c r="H33">
        <v>3600</v>
      </c>
      <c r="I33" t="e">
        <f>I32+G33-H33</f>
        <v>#REF!</v>
      </c>
    </row>
    <row r="34" spans="1:10" s="30" customFormat="1" ht="24.75" customHeight="1">
      <c r="A34" s="8"/>
      <c r="B34" s="9" t="s">
        <v>9</v>
      </c>
      <c r="C34" s="29">
        <v>0</v>
      </c>
      <c r="J34" s="30">
        <f>25/550</f>
        <v>0.045454545454545456</v>
      </c>
    </row>
    <row r="35" spans="1:10" ht="24.75" customHeight="1">
      <c r="A35" s="27" t="s">
        <v>34</v>
      </c>
      <c r="B35" s="28" t="s">
        <v>39</v>
      </c>
      <c r="C35" s="7"/>
      <c r="J35">
        <f>J34*10</f>
        <v>0.4545454545454546</v>
      </c>
    </row>
    <row r="36" spans="1:10" ht="24.75" customHeight="1">
      <c r="A36" s="8" t="s">
        <v>40</v>
      </c>
      <c r="B36" s="9" t="s">
        <v>21</v>
      </c>
      <c r="C36" s="10"/>
      <c r="J36">
        <f>3/550</f>
        <v>0.005454545454545455</v>
      </c>
    </row>
    <row r="37" spans="1:10" ht="24.75" customHeight="1">
      <c r="A37" s="8"/>
      <c r="B37" s="9" t="s">
        <v>70</v>
      </c>
      <c r="C37" s="10"/>
      <c r="J37">
        <f>J36*10</f>
        <v>0.05454545454545455</v>
      </c>
    </row>
    <row r="38" spans="1:10" ht="18.75" customHeight="1">
      <c r="A38" s="22"/>
      <c r="B38" s="23"/>
      <c r="J38">
        <f>15/550</f>
        <v>0.02727272727272727</v>
      </c>
    </row>
    <row r="39" spans="3:10" ht="16.5">
      <c r="C39" s="33" t="s">
        <v>59</v>
      </c>
      <c r="D39" s="40"/>
      <c r="E39" s="40"/>
      <c r="J39">
        <f>J38*10</f>
        <v>0.2727272727272727</v>
      </c>
    </row>
    <row r="40" spans="3:5" ht="21.75" customHeight="1">
      <c r="C40" s="11" t="s">
        <v>60</v>
      </c>
      <c r="D40" s="19"/>
      <c r="E40" s="19"/>
    </row>
    <row r="41" spans="3:5" ht="15.75">
      <c r="C41" s="36"/>
      <c r="D41" s="1"/>
      <c r="E41" s="1"/>
    </row>
    <row r="42" spans="3:5" ht="15.75">
      <c r="C42" s="36"/>
      <c r="D42" s="1"/>
      <c r="E42" s="1"/>
    </row>
    <row r="43" spans="3:5" ht="15.75">
      <c r="C43" s="36"/>
      <c r="D43" s="1"/>
      <c r="E43" s="1"/>
    </row>
    <row r="44" spans="3:5" ht="15.75">
      <c r="C44" s="36"/>
      <c r="D44" s="1"/>
      <c r="E44" s="1"/>
    </row>
    <row r="45" spans="3:5" ht="18.75">
      <c r="C45" s="100" t="s">
        <v>100</v>
      </c>
      <c r="D45" s="1"/>
      <c r="E45" s="1"/>
    </row>
    <row r="46" spans="3:5" ht="15.75">
      <c r="C46" s="36"/>
      <c r="D46" s="1"/>
      <c r="E46" s="1"/>
    </row>
    <row r="47" spans="3:5" ht="15.75">
      <c r="C47" s="36"/>
      <c r="D47" s="1"/>
      <c r="E47" s="1"/>
    </row>
    <row r="48" spans="3:5" ht="15.75">
      <c r="C48" s="36"/>
      <c r="D48" s="1"/>
      <c r="E48" s="1"/>
    </row>
    <row r="49" spans="3:5" ht="15.75">
      <c r="C49" s="36"/>
      <c r="D49" s="1"/>
      <c r="E49" s="1"/>
    </row>
    <row r="50" spans="3:5" ht="15.75">
      <c r="C50" s="36"/>
      <c r="D50" s="1"/>
      <c r="E50" s="1"/>
    </row>
    <row r="51" spans="2:5" ht="15.75">
      <c r="B51" s="59" t="s">
        <v>74</v>
      </c>
      <c r="C51" s="36"/>
      <c r="D51" s="1"/>
      <c r="E51" s="1"/>
    </row>
    <row r="52" spans="3:5" ht="15.75">
      <c r="C52" s="36"/>
      <c r="D52" s="1"/>
      <c r="E52" s="1"/>
    </row>
    <row r="53" spans="3:5" ht="15.75">
      <c r="C53" s="36"/>
      <c r="D53" s="1"/>
      <c r="E53" s="1"/>
    </row>
    <row r="54" spans="3:5" ht="15.75">
      <c r="C54" s="36"/>
      <c r="D54" s="1"/>
      <c r="E54" s="1"/>
    </row>
    <row r="55" spans="3:5" ht="16.5">
      <c r="C55" s="18"/>
      <c r="D55" s="41"/>
      <c r="E55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PCThuy</cp:lastModifiedBy>
  <cp:lastPrinted>2022-08-01T04:21:16Z</cp:lastPrinted>
  <dcterms:created xsi:type="dcterms:W3CDTF">2012-03-15T09:20:13Z</dcterms:created>
  <dcterms:modified xsi:type="dcterms:W3CDTF">2022-08-01T04:21:48Z</dcterms:modified>
  <cp:category/>
  <cp:version/>
  <cp:contentType/>
  <cp:contentStatus/>
</cp:coreProperties>
</file>